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uscio/Documents/PSY203/"/>
    </mc:Choice>
  </mc:AlternateContent>
  <xr:revisionPtr revIDLastSave="0" documentId="13_ncr:1_{7EA73D59-E0E9-DA48-8C23-05CA2F7F456D}" xr6:coauthVersionLast="45" xr6:coauthVersionMax="45" xr10:uidLastSave="{00000000-0000-0000-0000-000000000000}"/>
  <bookViews>
    <workbookView xWindow="660" yWindow="460" windowWidth="24220" windowHeight="13640" xr2:uid="{00000000-000D-0000-FFFF-FFFF00000000}"/>
  </bookViews>
  <sheets>
    <sheet name="Desc" sheetId="10" r:id="rId1"/>
    <sheet name="z" sheetId="5" r:id="rId2"/>
    <sheet name="d" sheetId="8" r:id="rId3"/>
    <sheet name="Power" sheetId="9" r:id="rId4"/>
    <sheet name="t" sheetId="4" r:id="rId5"/>
    <sheet name="F" sheetId="1" r:id="rId6"/>
    <sheet name="HSD" sheetId="6" r:id="rId7"/>
    <sheet name="Corr + Reg" sheetId="7" r:id="rId8"/>
    <sheet name="Chi-Sq" sheetId="2" r:id="rId9"/>
  </sheets>
  <definedNames>
    <definedName name="_xlnm.Print_Area" localSheetId="8">'Chi-Sq'!$A$1:$A$37</definedName>
    <definedName name="_xlnm.Print_Area" localSheetId="7">'Corr + Reg'!$Y$1:$AG$39</definedName>
    <definedName name="_xlnm.Print_Area" localSheetId="0">Desc!#REF!</definedName>
    <definedName name="_xlnm.Print_Area" localSheetId="5">F!$AL$1:$AS$55</definedName>
    <definedName name="_xlnm.Print_Area" localSheetId="6">HSD!$F$1:$L$54</definedName>
    <definedName name="_xlnm.Print_Area" localSheetId="4">t!$X$1:$AF$38</definedName>
    <definedName name="_xlnm.Print_Area" localSheetId="1">z!$L$1:$T$3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10" i="7"/>
  <c r="D11" i="7"/>
  <c r="D12" i="7"/>
  <c r="D13" i="7"/>
  <c r="D14" i="7"/>
  <c r="D15" i="7"/>
  <c r="D16" i="7"/>
  <c r="G23" i="7"/>
  <c r="G25" i="7"/>
  <c r="G24" i="7"/>
  <c r="G26" i="7"/>
  <c r="H10" i="2"/>
  <c r="N5" i="2"/>
  <c r="N4" i="2"/>
  <c r="I10" i="2"/>
  <c r="J10" i="2"/>
  <c r="K10" i="2"/>
  <c r="L10" i="2"/>
  <c r="Z25" i="1"/>
  <c r="AE13" i="1" s="1"/>
  <c r="AB38" i="1"/>
  <c r="AB37" i="1"/>
  <c r="AB39" i="1"/>
  <c r="AB40" i="1"/>
  <c r="AB41" i="1"/>
  <c r="AB42" i="1"/>
  <c r="AB43" i="1"/>
  <c r="AB44" i="1"/>
  <c r="AB45" i="1"/>
  <c r="AB46" i="1"/>
  <c r="AC31" i="1"/>
  <c r="AC33" i="1"/>
  <c r="AE38" i="1"/>
  <c r="AF38" i="1" s="1"/>
  <c r="AE37" i="1"/>
  <c r="AE39" i="1"/>
  <c r="AF39" i="1"/>
  <c r="AE40" i="1"/>
  <c r="AE41" i="1"/>
  <c r="AF41" i="1"/>
  <c r="AE42" i="1"/>
  <c r="AE43" i="1"/>
  <c r="AF43" i="1"/>
  <c r="AE44" i="1"/>
  <c r="AE45" i="1"/>
  <c r="AF45" i="1" s="1"/>
  <c r="AE46" i="1"/>
  <c r="AA6" i="1"/>
  <c r="AC26" i="1"/>
  <c r="AB21" i="1"/>
  <c r="Z23" i="1"/>
  <c r="I5" i="4"/>
  <c r="I6" i="4"/>
  <c r="I7" i="4"/>
  <c r="I8" i="4"/>
  <c r="I9" i="4"/>
  <c r="I10" i="4"/>
  <c r="I11" i="4"/>
  <c r="I12" i="4"/>
  <c r="I13" i="4"/>
  <c r="I14" i="4"/>
  <c r="L11" i="4"/>
  <c r="L10" i="4"/>
  <c r="L9" i="4"/>
  <c r="L8" i="4"/>
  <c r="E4" i="10"/>
  <c r="E12" i="10"/>
  <c r="E18" i="10"/>
  <c r="E7" i="10"/>
  <c r="E6" i="10"/>
  <c r="I14" i="2"/>
  <c r="N6" i="2"/>
  <c r="N7" i="2"/>
  <c r="N8" i="2"/>
  <c r="H11" i="5"/>
  <c r="H6" i="5"/>
  <c r="D19" i="6"/>
  <c r="AE47" i="1"/>
  <c r="AF47" i="1" s="1"/>
  <c r="AE48" i="1"/>
  <c r="AF48" i="1" s="1"/>
  <c r="AE49" i="1"/>
  <c r="AF49" i="1" s="1"/>
  <c r="AE50" i="1"/>
  <c r="AF50" i="1" s="1"/>
  <c r="AE51" i="1"/>
  <c r="AF51" i="1" s="1"/>
  <c r="AE52" i="1"/>
  <c r="AF52" i="1" s="1"/>
  <c r="AE53" i="1"/>
  <c r="AF53" i="1" s="1"/>
  <c r="AE54" i="1"/>
  <c r="AF54" i="1" s="1"/>
  <c r="AE55" i="1"/>
  <c r="AF55" i="1" s="1"/>
  <c r="AE56" i="1"/>
  <c r="AF56" i="1" s="1"/>
  <c r="AE57" i="1"/>
  <c r="AF57" i="1" s="1"/>
  <c r="AE58" i="1"/>
  <c r="AF58" i="1" s="1"/>
  <c r="AE59" i="1"/>
  <c r="AF59" i="1" s="1"/>
  <c r="AE60" i="1"/>
  <c r="AF60" i="1" s="1"/>
  <c r="AE61" i="1"/>
  <c r="AF61" i="1" s="1"/>
  <c r="AE62" i="1"/>
  <c r="AF62" i="1" s="1"/>
  <c r="AE63" i="1"/>
  <c r="AF63" i="1" s="1"/>
  <c r="AE64" i="1"/>
  <c r="AF64" i="1" s="1"/>
  <c r="AE65" i="1"/>
  <c r="AF65" i="1" s="1"/>
  <c r="AE66" i="1"/>
  <c r="AF66" i="1" s="1"/>
  <c r="AE67" i="1"/>
  <c r="AF67" i="1" s="1"/>
  <c r="AE68" i="1"/>
  <c r="AF68" i="1" s="1"/>
  <c r="AE69" i="1"/>
  <c r="AF69" i="1" s="1"/>
  <c r="AE70" i="1"/>
  <c r="AF70" i="1" s="1"/>
  <c r="AE71" i="1"/>
  <c r="AF71" i="1" s="1"/>
  <c r="AE72" i="1"/>
  <c r="AF72" i="1" s="1"/>
  <c r="AE73" i="1"/>
  <c r="AF73" i="1" s="1"/>
  <c r="AE74" i="1"/>
  <c r="AF74" i="1" s="1"/>
  <c r="AE75" i="1"/>
  <c r="AF75" i="1" s="1"/>
  <c r="AE76" i="1"/>
  <c r="AF76" i="1" s="1"/>
  <c r="AE77" i="1"/>
  <c r="AF77" i="1" s="1"/>
  <c r="AE78" i="1"/>
  <c r="AF78" i="1" s="1"/>
  <c r="AE79" i="1"/>
  <c r="AF79" i="1" s="1"/>
  <c r="AE80" i="1"/>
  <c r="AF80" i="1" s="1"/>
  <c r="AE81" i="1"/>
  <c r="AF81" i="1" s="1"/>
  <c r="AE82" i="1"/>
  <c r="AF82" i="1" s="1"/>
  <c r="AE83" i="1"/>
  <c r="AF83" i="1" s="1"/>
  <c r="AE84" i="1"/>
  <c r="AF84" i="1" s="1"/>
  <c r="AE85" i="1"/>
  <c r="AF85" i="1" s="1"/>
  <c r="AE86" i="1"/>
  <c r="AF86" i="1" s="1"/>
  <c r="AE87" i="1"/>
  <c r="AF87" i="1" s="1"/>
  <c r="AE88" i="1"/>
  <c r="AF88" i="1" s="1"/>
  <c r="AE89" i="1"/>
  <c r="AF89" i="1" s="1"/>
  <c r="AE90" i="1"/>
  <c r="AF90" i="1" s="1"/>
  <c r="AE91" i="1"/>
  <c r="AF91" i="1" s="1"/>
  <c r="AE92" i="1"/>
  <c r="AF92" i="1" s="1"/>
  <c r="AE93" i="1"/>
  <c r="AF93" i="1" s="1"/>
  <c r="AE94" i="1"/>
  <c r="AF94" i="1" s="1"/>
  <c r="AE95" i="1"/>
  <c r="AF95" i="1" s="1"/>
  <c r="AE96" i="1"/>
  <c r="AF96" i="1" s="1"/>
  <c r="AE97" i="1"/>
  <c r="AF97" i="1" s="1"/>
  <c r="AE98" i="1"/>
  <c r="AF98" i="1" s="1"/>
  <c r="AE99" i="1"/>
  <c r="AF99" i="1" s="1"/>
  <c r="AE100" i="1"/>
  <c r="AF100" i="1" s="1"/>
  <c r="AE101" i="1"/>
  <c r="AF101" i="1" s="1"/>
  <c r="AE102" i="1"/>
  <c r="AF102" i="1" s="1"/>
  <c r="AE103" i="1"/>
  <c r="AF103" i="1" s="1"/>
  <c r="AE104" i="1"/>
  <c r="AF104" i="1" s="1"/>
  <c r="AE105" i="1"/>
  <c r="AF105" i="1" s="1"/>
  <c r="AE106" i="1"/>
  <c r="AF106" i="1" s="1"/>
  <c r="AE107" i="1"/>
  <c r="AF107" i="1" s="1"/>
  <c r="AE108" i="1"/>
  <c r="AF108" i="1" s="1"/>
  <c r="AE109" i="1"/>
  <c r="AF109" i="1" s="1"/>
  <c r="AE110" i="1"/>
  <c r="AF110" i="1" s="1"/>
  <c r="AE111" i="1"/>
  <c r="AF111" i="1" s="1"/>
  <c r="AE112" i="1"/>
  <c r="AF112" i="1" s="1"/>
  <c r="AE113" i="1"/>
  <c r="AF113" i="1" s="1"/>
  <c r="AE114" i="1"/>
  <c r="AF114" i="1" s="1"/>
  <c r="AE115" i="1"/>
  <c r="AF115" i="1" s="1"/>
  <c r="AE116" i="1"/>
  <c r="AF116" i="1" s="1"/>
  <c r="AE117" i="1"/>
  <c r="AF117" i="1" s="1"/>
  <c r="AE118" i="1"/>
  <c r="AF118" i="1" s="1"/>
  <c r="AE119" i="1"/>
  <c r="AF119" i="1" s="1"/>
  <c r="AE120" i="1"/>
  <c r="AF120" i="1" s="1"/>
  <c r="AE121" i="1"/>
  <c r="AF121" i="1" s="1"/>
  <c r="AE122" i="1"/>
  <c r="AF122" i="1" s="1"/>
  <c r="AE123" i="1"/>
  <c r="AF123" i="1" s="1"/>
  <c r="AE124" i="1"/>
  <c r="AF124" i="1" s="1"/>
  <c r="AE125" i="1"/>
  <c r="AF125" i="1" s="1"/>
  <c r="AE126" i="1"/>
  <c r="AF126" i="1" s="1"/>
  <c r="AE127" i="1"/>
  <c r="AF127" i="1" s="1"/>
  <c r="AE128" i="1"/>
  <c r="AF128" i="1" s="1"/>
  <c r="AE129" i="1"/>
  <c r="AF129" i="1" s="1"/>
  <c r="AE130" i="1"/>
  <c r="AF130" i="1" s="1"/>
  <c r="AE131" i="1"/>
  <c r="AF131" i="1" s="1"/>
  <c r="AE132" i="1"/>
  <c r="AF132" i="1" s="1"/>
  <c r="AE133" i="1"/>
  <c r="AF133" i="1" s="1"/>
  <c r="AE134" i="1"/>
  <c r="AF134" i="1" s="1"/>
  <c r="AE135" i="1"/>
  <c r="AF135" i="1" s="1"/>
  <c r="AE136" i="1"/>
  <c r="AF136" i="1" s="1"/>
  <c r="AD136" i="1"/>
  <c r="AC136" i="1"/>
  <c r="AB136" i="1"/>
  <c r="AA136" i="1"/>
  <c r="Z136" i="1"/>
  <c r="Y136" i="1"/>
  <c r="AD135" i="1"/>
  <c r="AC135" i="1"/>
  <c r="AB135" i="1"/>
  <c r="AA135" i="1"/>
  <c r="Z135" i="1"/>
  <c r="Y135" i="1"/>
  <c r="AD134" i="1"/>
  <c r="AC134" i="1"/>
  <c r="AB134" i="1"/>
  <c r="AA134" i="1"/>
  <c r="Z134" i="1"/>
  <c r="Y134" i="1"/>
  <c r="AD133" i="1"/>
  <c r="AC133" i="1"/>
  <c r="AB133" i="1"/>
  <c r="AA133" i="1"/>
  <c r="Z133" i="1"/>
  <c r="Y133" i="1"/>
  <c r="AD132" i="1"/>
  <c r="AC132" i="1"/>
  <c r="AB132" i="1"/>
  <c r="AA132" i="1"/>
  <c r="Z132" i="1"/>
  <c r="Y132" i="1"/>
  <c r="AD131" i="1"/>
  <c r="AC131" i="1"/>
  <c r="AB131" i="1"/>
  <c r="AA131" i="1"/>
  <c r="Z131" i="1"/>
  <c r="Y131" i="1"/>
  <c r="AD130" i="1"/>
  <c r="AC130" i="1"/>
  <c r="AB130" i="1"/>
  <c r="AA130" i="1"/>
  <c r="Z130" i="1"/>
  <c r="Y130" i="1"/>
  <c r="AD129" i="1"/>
  <c r="AC129" i="1"/>
  <c r="AB129" i="1"/>
  <c r="AA129" i="1"/>
  <c r="Z129" i="1"/>
  <c r="Y129" i="1"/>
  <c r="AD128" i="1"/>
  <c r="AC128" i="1"/>
  <c r="AB128" i="1"/>
  <c r="AA128" i="1"/>
  <c r="Z128" i="1"/>
  <c r="Y128" i="1"/>
  <c r="AD127" i="1"/>
  <c r="AC127" i="1"/>
  <c r="AB127" i="1"/>
  <c r="AA127" i="1"/>
  <c r="Z127" i="1"/>
  <c r="Y127" i="1"/>
  <c r="AD126" i="1"/>
  <c r="AC126" i="1"/>
  <c r="AB126" i="1"/>
  <c r="AA126" i="1"/>
  <c r="Z126" i="1"/>
  <c r="Y126" i="1"/>
  <c r="AD125" i="1"/>
  <c r="AC125" i="1"/>
  <c r="AB125" i="1"/>
  <c r="AA125" i="1"/>
  <c r="Z125" i="1"/>
  <c r="Y125" i="1"/>
  <c r="AD124" i="1"/>
  <c r="AC124" i="1"/>
  <c r="AB124" i="1"/>
  <c r="AA124" i="1"/>
  <c r="Z124" i="1"/>
  <c r="Y124" i="1"/>
  <c r="AD123" i="1"/>
  <c r="AC123" i="1"/>
  <c r="AB123" i="1"/>
  <c r="AA123" i="1"/>
  <c r="Z123" i="1"/>
  <c r="Y123" i="1"/>
  <c r="AD122" i="1"/>
  <c r="AC122" i="1"/>
  <c r="AB122" i="1"/>
  <c r="AA122" i="1"/>
  <c r="Z122" i="1"/>
  <c r="Y122" i="1"/>
  <c r="AD121" i="1"/>
  <c r="AC121" i="1"/>
  <c r="AB121" i="1"/>
  <c r="AA121" i="1"/>
  <c r="Z121" i="1"/>
  <c r="Y121" i="1"/>
  <c r="AD120" i="1"/>
  <c r="AC120" i="1"/>
  <c r="AB120" i="1"/>
  <c r="AA120" i="1"/>
  <c r="Z120" i="1"/>
  <c r="Y120" i="1"/>
  <c r="AD119" i="1"/>
  <c r="AC119" i="1"/>
  <c r="AB119" i="1"/>
  <c r="AA119" i="1"/>
  <c r="Z119" i="1"/>
  <c r="Y119" i="1"/>
  <c r="AD118" i="1"/>
  <c r="AC118" i="1"/>
  <c r="AB118" i="1"/>
  <c r="AA118" i="1"/>
  <c r="Z118" i="1"/>
  <c r="Y118" i="1"/>
  <c r="AD117" i="1"/>
  <c r="AC117" i="1"/>
  <c r="AB117" i="1"/>
  <c r="AA117" i="1"/>
  <c r="Z117" i="1"/>
  <c r="Y117" i="1"/>
  <c r="AD116" i="1"/>
  <c r="AC116" i="1"/>
  <c r="AB116" i="1"/>
  <c r="AA116" i="1"/>
  <c r="Z116" i="1"/>
  <c r="Y116" i="1"/>
  <c r="AD115" i="1"/>
  <c r="AC115" i="1"/>
  <c r="AB115" i="1"/>
  <c r="AA115" i="1"/>
  <c r="Z115" i="1"/>
  <c r="Y115" i="1"/>
  <c r="AD114" i="1"/>
  <c r="AC114" i="1"/>
  <c r="AB114" i="1"/>
  <c r="AA114" i="1"/>
  <c r="Z114" i="1"/>
  <c r="Y114" i="1"/>
  <c r="AD113" i="1"/>
  <c r="AC113" i="1"/>
  <c r="AB113" i="1"/>
  <c r="AA113" i="1"/>
  <c r="Z113" i="1"/>
  <c r="Y113" i="1"/>
  <c r="AD112" i="1"/>
  <c r="AC112" i="1"/>
  <c r="AB112" i="1"/>
  <c r="AA112" i="1"/>
  <c r="Z112" i="1"/>
  <c r="Y112" i="1"/>
  <c r="AD111" i="1"/>
  <c r="AC111" i="1"/>
  <c r="AB111" i="1"/>
  <c r="AA111" i="1"/>
  <c r="Z111" i="1"/>
  <c r="Y111" i="1"/>
  <c r="AD110" i="1"/>
  <c r="AC110" i="1"/>
  <c r="AB110" i="1"/>
  <c r="AA110" i="1"/>
  <c r="Z110" i="1"/>
  <c r="Y110" i="1"/>
  <c r="AD109" i="1"/>
  <c r="AC109" i="1"/>
  <c r="AB109" i="1"/>
  <c r="AA109" i="1"/>
  <c r="Z109" i="1"/>
  <c r="Y109" i="1"/>
  <c r="AD108" i="1"/>
  <c r="AC108" i="1"/>
  <c r="AB108" i="1"/>
  <c r="AA108" i="1"/>
  <c r="Z108" i="1"/>
  <c r="Y108" i="1"/>
  <c r="AD107" i="1"/>
  <c r="AC107" i="1"/>
  <c r="AB107" i="1"/>
  <c r="AA107" i="1"/>
  <c r="Z107" i="1"/>
  <c r="Y107" i="1"/>
  <c r="AD106" i="1"/>
  <c r="AC106" i="1"/>
  <c r="AB106" i="1"/>
  <c r="AA106" i="1"/>
  <c r="Z106" i="1"/>
  <c r="Y106" i="1"/>
  <c r="AD105" i="1"/>
  <c r="AC105" i="1"/>
  <c r="AB105" i="1"/>
  <c r="AA105" i="1"/>
  <c r="Z105" i="1"/>
  <c r="Y105" i="1"/>
  <c r="AD104" i="1"/>
  <c r="AC104" i="1"/>
  <c r="AB104" i="1"/>
  <c r="AA104" i="1"/>
  <c r="Z104" i="1"/>
  <c r="Y104" i="1"/>
  <c r="AD103" i="1"/>
  <c r="AC103" i="1"/>
  <c r="AB103" i="1"/>
  <c r="AA103" i="1"/>
  <c r="Z103" i="1"/>
  <c r="Y103" i="1"/>
  <c r="AD102" i="1"/>
  <c r="AC102" i="1"/>
  <c r="AB102" i="1"/>
  <c r="AA102" i="1"/>
  <c r="Z102" i="1"/>
  <c r="Y102" i="1"/>
  <c r="AD101" i="1"/>
  <c r="AC101" i="1"/>
  <c r="AB101" i="1"/>
  <c r="AA101" i="1"/>
  <c r="Z101" i="1"/>
  <c r="Y101" i="1"/>
  <c r="AD100" i="1"/>
  <c r="AC100" i="1"/>
  <c r="AB100" i="1"/>
  <c r="AA100" i="1"/>
  <c r="Z100" i="1"/>
  <c r="Y100" i="1"/>
  <c r="AD99" i="1"/>
  <c r="AC99" i="1"/>
  <c r="AB99" i="1"/>
  <c r="AA99" i="1"/>
  <c r="Z99" i="1"/>
  <c r="Y99" i="1"/>
  <c r="AD98" i="1"/>
  <c r="AC98" i="1"/>
  <c r="AB98" i="1"/>
  <c r="AA98" i="1"/>
  <c r="Z98" i="1"/>
  <c r="Y98" i="1"/>
  <c r="AD97" i="1"/>
  <c r="AC97" i="1"/>
  <c r="AB97" i="1"/>
  <c r="AA97" i="1"/>
  <c r="Z97" i="1"/>
  <c r="Y97" i="1"/>
  <c r="AD96" i="1"/>
  <c r="AC96" i="1"/>
  <c r="AB96" i="1"/>
  <c r="AA96" i="1"/>
  <c r="Z96" i="1"/>
  <c r="Y96" i="1"/>
  <c r="AD95" i="1"/>
  <c r="AC95" i="1"/>
  <c r="AB95" i="1"/>
  <c r="AA95" i="1"/>
  <c r="Z95" i="1"/>
  <c r="Y95" i="1"/>
  <c r="AD94" i="1"/>
  <c r="AC94" i="1"/>
  <c r="AB94" i="1"/>
  <c r="AA94" i="1"/>
  <c r="Z94" i="1"/>
  <c r="Y94" i="1"/>
  <c r="AD93" i="1"/>
  <c r="AC93" i="1"/>
  <c r="AB93" i="1"/>
  <c r="AA93" i="1"/>
  <c r="Z93" i="1"/>
  <c r="Y93" i="1"/>
  <c r="AD92" i="1"/>
  <c r="AC92" i="1"/>
  <c r="AB92" i="1"/>
  <c r="AA92" i="1"/>
  <c r="Z92" i="1"/>
  <c r="Y92" i="1"/>
  <c r="AD91" i="1"/>
  <c r="AC91" i="1"/>
  <c r="AB91" i="1"/>
  <c r="AA91" i="1"/>
  <c r="Z91" i="1"/>
  <c r="Y91" i="1"/>
  <c r="AD90" i="1"/>
  <c r="AC90" i="1"/>
  <c r="AB90" i="1"/>
  <c r="AA90" i="1"/>
  <c r="Z90" i="1"/>
  <c r="Y90" i="1"/>
  <c r="AD89" i="1"/>
  <c r="AC89" i="1"/>
  <c r="AB89" i="1"/>
  <c r="AA89" i="1"/>
  <c r="Z89" i="1"/>
  <c r="Y89" i="1"/>
  <c r="AD88" i="1"/>
  <c r="AC88" i="1"/>
  <c r="AB88" i="1"/>
  <c r="AA88" i="1"/>
  <c r="Z88" i="1"/>
  <c r="Y88" i="1"/>
  <c r="AD87" i="1"/>
  <c r="AC87" i="1"/>
  <c r="AB87" i="1"/>
  <c r="AA87" i="1"/>
  <c r="Z87" i="1"/>
  <c r="Y87" i="1"/>
  <c r="AD86" i="1"/>
  <c r="AC86" i="1"/>
  <c r="AB86" i="1"/>
  <c r="AA86" i="1"/>
  <c r="Z86" i="1"/>
  <c r="Y86" i="1"/>
  <c r="AD85" i="1"/>
  <c r="AC85" i="1"/>
  <c r="AB85" i="1"/>
  <c r="AA85" i="1"/>
  <c r="Z85" i="1"/>
  <c r="Y85" i="1"/>
  <c r="AD84" i="1"/>
  <c r="AC84" i="1"/>
  <c r="AB84" i="1"/>
  <c r="AA84" i="1"/>
  <c r="Z84" i="1"/>
  <c r="Y84" i="1"/>
  <c r="AD83" i="1"/>
  <c r="AC83" i="1"/>
  <c r="AB83" i="1"/>
  <c r="AA83" i="1"/>
  <c r="Z83" i="1"/>
  <c r="Y83" i="1"/>
  <c r="AD82" i="1"/>
  <c r="AC82" i="1"/>
  <c r="AB82" i="1"/>
  <c r="AA82" i="1"/>
  <c r="Z82" i="1"/>
  <c r="Y82" i="1"/>
  <c r="AD81" i="1"/>
  <c r="AC81" i="1"/>
  <c r="AB81" i="1"/>
  <c r="AA81" i="1"/>
  <c r="Z81" i="1"/>
  <c r="Y81" i="1"/>
  <c r="AD80" i="1"/>
  <c r="AC80" i="1"/>
  <c r="AB80" i="1"/>
  <c r="AA80" i="1"/>
  <c r="Z80" i="1"/>
  <c r="Y80" i="1"/>
  <c r="AD79" i="1"/>
  <c r="AC79" i="1"/>
  <c r="AB79" i="1"/>
  <c r="AA79" i="1"/>
  <c r="Z79" i="1"/>
  <c r="Y79" i="1"/>
  <c r="AD78" i="1"/>
  <c r="AC78" i="1"/>
  <c r="AB78" i="1"/>
  <c r="AA78" i="1"/>
  <c r="Z78" i="1"/>
  <c r="Y78" i="1"/>
  <c r="AD77" i="1"/>
  <c r="AC77" i="1"/>
  <c r="AB77" i="1"/>
  <c r="AA77" i="1"/>
  <c r="Z77" i="1"/>
  <c r="Y77" i="1"/>
  <c r="AD76" i="1"/>
  <c r="AC76" i="1"/>
  <c r="AB76" i="1"/>
  <c r="AA76" i="1"/>
  <c r="Z76" i="1"/>
  <c r="Y76" i="1"/>
  <c r="AD75" i="1"/>
  <c r="AC75" i="1"/>
  <c r="AB75" i="1"/>
  <c r="AA75" i="1"/>
  <c r="Z75" i="1"/>
  <c r="Y75" i="1"/>
  <c r="AD74" i="1"/>
  <c r="AC74" i="1"/>
  <c r="AB74" i="1"/>
  <c r="AA74" i="1"/>
  <c r="Z74" i="1"/>
  <c r="Y74" i="1"/>
  <c r="AD73" i="1"/>
  <c r="AC73" i="1"/>
  <c r="AB73" i="1"/>
  <c r="AA73" i="1"/>
  <c r="Z73" i="1"/>
  <c r="Y73" i="1"/>
  <c r="AD72" i="1"/>
  <c r="AC72" i="1"/>
  <c r="AB72" i="1"/>
  <c r="AA72" i="1"/>
  <c r="Z72" i="1"/>
  <c r="Y72" i="1"/>
  <c r="AD71" i="1"/>
  <c r="AC71" i="1"/>
  <c r="AB71" i="1"/>
  <c r="AA71" i="1"/>
  <c r="Z71" i="1"/>
  <c r="Y71" i="1"/>
  <c r="AD70" i="1"/>
  <c r="AC70" i="1"/>
  <c r="AB70" i="1"/>
  <c r="AA70" i="1"/>
  <c r="Z70" i="1"/>
  <c r="Y70" i="1"/>
  <c r="AD69" i="1"/>
  <c r="AC69" i="1"/>
  <c r="AB69" i="1"/>
  <c r="AA69" i="1"/>
  <c r="Z69" i="1"/>
  <c r="Y69" i="1"/>
  <c r="AD68" i="1"/>
  <c r="AC68" i="1"/>
  <c r="AB68" i="1"/>
  <c r="AA68" i="1"/>
  <c r="Z68" i="1"/>
  <c r="Y68" i="1"/>
  <c r="AD67" i="1"/>
  <c r="AC67" i="1"/>
  <c r="AB67" i="1"/>
  <c r="AA67" i="1"/>
  <c r="Z67" i="1"/>
  <c r="Y67" i="1"/>
  <c r="AD66" i="1"/>
  <c r="AC66" i="1"/>
  <c r="AB66" i="1"/>
  <c r="AA66" i="1"/>
  <c r="Z66" i="1"/>
  <c r="Y66" i="1"/>
  <c r="AD65" i="1"/>
  <c r="AC65" i="1"/>
  <c r="AB65" i="1"/>
  <c r="AA65" i="1"/>
  <c r="Z65" i="1"/>
  <c r="Y65" i="1"/>
  <c r="AD64" i="1"/>
  <c r="AC64" i="1"/>
  <c r="AB64" i="1"/>
  <c r="AA64" i="1"/>
  <c r="Z64" i="1"/>
  <c r="Y64" i="1"/>
  <c r="AD63" i="1"/>
  <c r="AC63" i="1"/>
  <c r="AB63" i="1"/>
  <c r="AA63" i="1"/>
  <c r="Z63" i="1"/>
  <c r="Y63" i="1"/>
  <c r="AD62" i="1"/>
  <c r="AC62" i="1"/>
  <c r="AB62" i="1"/>
  <c r="AA62" i="1"/>
  <c r="Z62" i="1"/>
  <c r="Y62" i="1"/>
  <c r="AD61" i="1"/>
  <c r="AC61" i="1"/>
  <c r="AB61" i="1"/>
  <c r="AA61" i="1"/>
  <c r="Z61" i="1"/>
  <c r="Y61" i="1"/>
  <c r="AD60" i="1"/>
  <c r="AC60" i="1"/>
  <c r="AB60" i="1"/>
  <c r="AA60" i="1"/>
  <c r="Z60" i="1"/>
  <c r="Y60" i="1"/>
  <c r="AD59" i="1"/>
  <c r="AC59" i="1"/>
  <c r="AB59" i="1"/>
  <c r="AA59" i="1"/>
  <c r="Z59" i="1"/>
  <c r="Y59" i="1"/>
  <c r="AD58" i="1"/>
  <c r="AC58" i="1"/>
  <c r="AB58" i="1"/>
  <c r="AA58" i="1"/>
  <c r="Z58" i="1"/>
  <c r="Y58" i="1"/>
  <c r="AD57" i="1"/>
  <c r="AC57" i="1"/>
  <c r="AB57" i="1"/>
  <c r="AA57" i="1"/>
  <c r="Z57" i="1"/>
  <c r="Y57" i="1"/>
  <c r="AD56" i="1"/>
  <c r="AC56" i="1"/>
  <c r="AB56" i="1"/>
  <c r="AA56" i="1"/>
  <c r="Z56" i="1"/>
  <c r="Y56" i="1"/>
  <c r="AD55" i="1"/>
  <c r="AC55" i="1"/>
  <c r="AB55" i="1"/>
  <c r="AA55" i="1"/>
  <c r="Z55" i="1"/>
  <c r="Y55" i="1"/>
  <c r="AD54" i="1"/>
  <c r="AC54" i="1"/>
  <c r="AB54" i="1"/>
  <c r="AA54" i="1"/>
  <c r="Z54" i="1"/>
  <c r="Y54" i="1"/>
  <c r="AD53" i="1"/>
  <c r="AC53" i="1"/>
  <c r="AB53" i="1"/>
  <c r="AA53" i="1"/>
  <c r="Z53" i="1"/>
  <c r="Y53" i="1"/>
  <c r="AD52" i="1"/>
  <c r="AC52" i="1"/>
  <c r="AB52" i="1"/>
  <c r="AA52" i="1"/>
  <c r="Z52" i="1"/>
  <c r="Y52" i="1"/>
  <c r="AD51" i="1"/>
  <c r="AC51" i="1"/>
  <c r="AB51" i="1"/>
  <c r="AA51" i="1"/>
  <c r="Z51" i="1"/>
  <c r="Y51" i="1"/>
  <c r="AD50" i="1"/>
  <c r="AC50" i="1"/>
  <c r="AB50" i="1"/>
  <c r="AA50" i="1"/>
  <c r="Z50" i="1"/>
  <c r="Y50" i="1"/>
  <c r="AD49" i="1"/>
  <c r="AC49" i="1"/>
  <c r="AB49" i="1"/>
  <c r="AA49" i="1"/>
  <c r="Z49" i="1"/>
  <c r="Y49" i="1"/>
  <c r="AD48" i="1"/>
  <c r="AC48" i="1"/>
  <c r="AB48" i="1"/>
  <c r="AA48" i="1"/>
  <c r="Z48" i="1"/>
  <c r="Y48" i="1"/>
  <c r="AD47" i="1"/>
  <c r="AC47" i="1"/>
  <c r="AB47" i="1"/>
  <c r="AA47" i="1"/>
  <c r="Z47" i="1"/>
  <c r="Y47" i="1"/>
  <c r="AD46" i="1"/>
  <c r="AC46" i="1"/>
  <c r="AA46" i="1"/>
  <c r="Z46" i="1"/>
  <c r="Y46" i="1"/>
  <c r="AD45" i="1"/>
  <c r="AC45" i="1"/>
  <c r="AA45" i="1"/>
  <c r="Z45" i="1"/>
  <c r="Y45" i="1"/>
  <c r="AD44" i="1"/>
  <c r="AC44" i="1"/>
  <c r="AA44" i="1"/>
  <c r="Z44" i="1"/>
  <c r="Y44" i="1"/>
  <c r="AD43" i="1"/>
  <c r="AC43" i="1"/>
  <c r="AA43" i="1"/>
  <c r="Z43" i="1"/>
  <c r="Y43" i="1"/>
  <c r="AD42" i="1"/>
  <c r="AC42" i="1"/>
  <c r="AA42" i="1"/>
  <c r="Z42" i="1"/>
  <c r="Y42" i="1"/>
  <c r="AD41" i="1"/>
  <c r="AC41" i="1"/>
  <c r="AA41" i="1"/>
  <c r="Z41" i="1"/>
  <c r="Y41" i="1"/>
  <c r="AD40" i="1"/>
  <c r="AC40" i="1"/>
  <c r="AA40" i="1"/>
  <c r="Z40" i="1"/>
  <c r="Y40" i="1"/>
  <c r="AD39" i="1"/>
  <c r="AC39" i="1"/>
  <c r="AA39" i="1"/>
  <c r="Z39" i="1"/>
  <c r="Y39" i="1"/>
  <c r="AD38" i="1"/>
  <c r="AC38" i="1"/>
  <c r="AA38" i="1"/>
  <c r="Z38" i="1"/>
  <c r="Y38" i="1"/>
  <c r="AD37" i="1"/>
  <c r="AE32" i="1" s="1"/>
  <c r="AC37" i="1"/>
  <c r="AD32" i="1" s="1"/>
  <c r="AA37" i="1"/>
  <c r="Z37" i="1"/>
  <c r="AA32" i="1" s="1"/>
  <c r="Y37" i="1"/>
  <c r="Z32" i="1" s="1"/>
  <c r="AE33" i="1"/>
  <c r="AE26" i="1"/>
  <c r="AD33" i="1"/>
  <c r="AD26" i="1" s="1"/>
  <c r="AB33" i="1"/>
  <c r="AA33" i="1"/>
  <c r="AA26" i="1" s="1"/>
  <c r="Z33" i="1"/>
  <c r="AE31" i="1"/>
  <c r="AD31" i="1"/>
  <c r="AB31" i="1"/>
  <c r="AB34" i="1" s="1"/>
  <c r="AA31" i="1"/>
  <c r="AA34" i="1" s="1"/>
  <c r="Z31" i="1"/>
  <c r="AF31" i="1" s="1"/>
  <c r="AB26" i="1"/>
  <c r="AB13" i="1"/>
  <c r="AA13" i="1"/>
  <c r="Z13" i="1"/>
  <c r="AB12" i="1"/>
  <c r="AA12" i="1"/>
  <c r="Z12" i="1"/>
  <c r="I114" i="1"/>
  <c r="J114" i="1"/>
  <c r="K114" i="1"/>
  <c r="L114" i="1"/>
  <c r="M114" i="1"/>
  <c r="N114" i="1"/>
  <c r="I115" i="1"/>
  <c r="J115" i="1"/>
  <c r="K115" i="1"/>
  <c r="L115" i="1"/>
  <c r="M115" i="1"/>
  <c r="N115" i="1"/>
  <c r="I116" i="1"/>
  <c r="J116" i="1"/>
  <c r="K116" i="1"/>
  <c r="L116" i="1"/>
  <c r="M116" i="1"/>
  <c r="N116" i="1"/>
  <c r="I117" i="1"/>
  <c r="J117" i="1"/>
  <c r="K117" i="1"/>
  <c r="L117" i="1"/>
  <c r="M117" i="1"/>
  <c r="N117" i="1"/>
  <c r="I118" i="1"/>
  <c r="J118" i="1"/>
  <c r="K118" i="1"/>
  <c r="L118" i="1"/>
  <c r="M118" i="1"/>
  <c r="N118" i="1"/>
  <c r="I119" i="1"/>
  <c r="J119" i="1"/>
  <c r="K119" i="1"/>
  <c r="L119" i="1"/>
  <c r="M119" i="1"/>
  <c r="N119" i="1"/>
  <c r="I120" i="1"/>
  <c r="J120" i="1"/>
  <c r="K120" i="1"/>
  <c r="L120" i="1"/>
  <c r="M120" i="1"/>
  <c r="N120" i="1"/>
  <c r="I121" i="1"/>
  <c r="J121" i="1"/>
  <c r="K121" i="1"/>
  <c r="L121" i="1"/>
  <c r="M121" i="1"/>
  <c r="N121" i="1"/>
  <c r="I122" i="1"/>
  <c r="J122" i="1"/>
  <c r="K122" i="1"/>
  <c r="L122" i="1"/>
  <c r="M122" i="1"/>
  <c r="N122" i="1"/>
  <c r="I123" i="1"/>
  <c r="J123" i="1"/>
  <c r="K123" i="1"/>
  <c r="L123" i="1"/>
  <c r="M123" i="1"/>
  <c r="N123" i="1"/>
  <c r="I124" i="1"/>
  <c r="J124" i="1"/>
  <c r="K124" i="1"/>
  <c r="L124" i="1"/>
  <c r="M124" i="1"/>
  <c r="N124" i="1"/>
  <c r="I125" i="1"/>
  <c r="J125" i="1"/>
  <c r="K125" i="1"/>
  <c r="L125" i="1"/>
  <c r="M125" i="1"/>
  <c r="N12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I133" i="1"/>
  <c r="J133" i="1"/>
  <c r="K133" i="1"/>
  <c r="L133" i="1"/>
  <c r="M133" i="1"/>
  <c r="N133" i="1"/>
  <c r="I134" i="1"/>
  <c r="J134" i="1"/>
  <c r="K134" i="1"/>
  <c r="L134" i="1"/>
  <c r="M134" i="1"/>
  <c r="N134" i="1"/>
  <c r="I95" i="1"/>
  <c r="J95" i="1"/>
  <c r="K95" i="1"/>
  <c r="L95" i="1"/>
  <c r="M95" i="1"/>
  <c r="N95" i="1"/>
  <c r="I96" i="1"/>
  <c r="J96" i="1"/>
  <c r="K96" i="1"/>
  <c r="L96" i="1"/>
  <c r="M96" i="1"/>
  <c r="N96" i="1"/>
  <c r="I97" i="1"/>
  <c r="J97" i="1"/>
  <c r="K97" i="1"/>
  <c r="L97" i="1"/>
  <c r="M97" i="1"/>
  <c r="N97" i="1"/>
  <c r="I98" i="1"/>
  <c r="J98" i="1"/>
  <c r="K98" i="1"/>
  <c r="L98" i="1"/>
  <c r="M98" i="1"/>
  <c r="N98" i="1"/>
  <c r="I99" i="1"/>
  <c r="J99" i="1"/>
  <c r="K99" i="1"/>
  <c r="L99" i="1"/>
  <c r="M99" i="1"/>
  <c r="N99" i="1"/>
  <c r="I100" i="1"/>
  <c r="J100" i="1"/>
  <c r="K100" i="1"/>
  <c r="L100" i="1"/>
  <c r="M100" i="1"/>
  <c r="N100" i="1"/>
  <c r="I101" i="1"/>
  <c r="J101" i="1"/>
  <c r="K101" i="1"/>
  <c r="L101" i="1"/>
  <c r="M101" i="1"/>
  <c r="N101" i="1"/>
  <c r="I102" i="1"/>
  <c r="J102" i="1"/>
  <c r="K102" i="1"/>
  <c r="L102" i="1"/>
  <c r="M102" i="1"/>
  <c r="N102" i="1"/>
  <c r="I103" i="1"/>
  <c r="J103" i="1"/>
  <c r="K103" i="1"/>
  <c r="L103" i="1"/>
  <c r="M103" i="1"/>
  <c r="N103" i="1"/>
  <c r="I104" i="1"/>
  <c r="J104" i="1"/>
  <c r="K104" i="1"/>
  <c r="L104" i="1"/>
  <c r="M104" i="1"/>
  <c r="N104" i="1"/>
  <c r="I105" i="1"/>
  <c r="J105" i="1"/>
  <c r="K105" i="1"/>
  <c r="L105" i="1"/>
  <c r="M105" i="1"/>
  <c r="N105" i="1"/>
  <c r="I106" i="1"/>
  <c r="J106" i="1"/>
  <c r="K106" i="1"/>
  <c r="L106" i="1"/>
  <c r="M106" i="1"/>
  <c r="N106" i="1"/>
  <c r="I107" i="1"/>
  <c r="J107" i="1"/>
  <c r="K107" i="1"/>
  <c r="L107" i="1"/>
  <c r="M107" i="1"/>
  <c r="N107" i="1"/>
  <c r="I108" i="1"/>
  <c r="J108" i="1"/>
  <c r="K108" i="1"/>
  <c r="L108" i="1"/>
  <c r="M108" i="1"/>
  <c r="N108" i="1"/>
  <c r="I109" i="1"/>
  <c r="J109" i="1"/>
  <c r="K109" i="1"/>
  <c r="L109" i="1"/>
  <c r="M109" i="1"/>
  <c r="N109" i="1"/>
  <c r="I110" i="1"/>
  <c r="J110" i="1"/>
  <c r="K110" i="1"/>
  <c r="L110" i="1"/>
  <c r="M110" i="1"/>
  <c r="N110" i="1"/>
  <c r="I111" i="1"/>
  <c r="J111" i="1"/>
  <c r="K111" i="1"/>
  <c r="L111" i="1"/>
  <c r="M111" i="1"/>
  <c r="N111" i="1"/>
  <c r="I112" i="1"/>
  <c r="J112" i="1"/>
  <c r="K112" i="1"/>
  <c r="L112" i="1"/>
  <c r="M112" i="1"/>
  <c r="N112" i="1"/>
  <c r="I113" i="1"/>
  <c r="J113" i="1"/>
  <c r="K113" i="1"/>
  <c r="L113" i="1"/>
  <c r="M113" i="1"/>
  <c r="N113" i="1"/>
  <c r="I45" i="1"/>
  <c r="J45" i="1"/>
  <c r="K45" i="1"/>
  <c r="L45" i="1"/>
  <c r="M45" i="1"/>
  <c r="N45" i="1"/>
  <c r="I46" i="1"/>
  <c r="J46" i="1"/>
  <c r="K46" i="1"/>
  <c r="L46" i="1"/>
  <c r="M46" i="1"/>
  <c r="N46" i="1"/>
  <c r="I47" i="1"/>
  <c r="J47" i="1"/>
  <c r="K47" i="1"/>
  <c r="L47" i="1"/>
  <c r="M47" i="1"/>
  <c r="N47" i="1"/>
  <c r="I48" i="1"/>
  <c r="J48" i="1"/>
  <c r="K48" i="1"/>
  <c r="L48" i="1"/>
  <c r="M48" i="1"/>
  <c r="N48" i="1"/>
  <c r="I49" i="1"/>
  <c r="J49" i="1"/>
  <c r="K49" i="1"/>
  <c r="L49" i="1"/>
  <c r="M49" i="1"/>
  <c r="N49" i="1"/>
  <c r="I50" i="1"/>
  <c r="J50" i="1"/>
  <c r="K50" i="1"/>
  <c r="L50" i="1"/>
  <c r="M50" i="1"/>
  <c r="N50" i="1"/>
  <c r="I51" i="1"/>
  <c r="J51" i="1"/>
  <c r="K51" i="1"/>
  <c r="L51" i="1"/>
  <c r="M51" i="1"/>
  <c r="N51" i="1"/>
  <c r="I52" i="1"/>
  <c r="J52" i="1"/>
  <c r="K52" i="1"/>
  <c r="L52" i="1"/>
  <c r="M52" i="1"/>
  <c r="N52" i="1"/>
  <c r="I53" i="1"/>
  <c r="J53" i="1"/>
  <c r="K53" i="1"/>
  <c r="L53" i="1"/>
  <c r="M53" i="1"/>
  <c r="N53" i="1"/>
  <c r="I54" i="1"/>
  <c r="J54" i="1"/>
  <c r="K54" i="1"/>
  <c r="L54" i="1"/>
  <c r="M54" i="1"/>
  <c r="N54" i="1"/>
  <c r="I55" i="1"/>
  <c r="J55" i="1"/>
  <c r="K55" i="1"/>
  <c r="L55" i="1"/>
  <c r="M55" i="1"/>
  <c r="N55" i="1"/>
  <c r="I56" i="1"/>
  <c r="J56" i="1"/>
  <c r="K56" i="1"/>
  <c r="L56" i="1"/>
  <c r="M56" i="1"/>
  <c r="N56" i="1"/>
  <c r="I57" i="1"/>
  <c r="J57" i="1"/>
  <c r="K57" i="1"/>
  <c r="L57" i="1"/>
  <c r="M57" i="1"/>
  <c r="N57" i="1"/>
  <c r="I58" i="1"/>
  <c r="J58" i="1"/>
  <c r="K58" i="1"/>
  <c r="L58" i="1"/>
  <c r="M58" i="1"/>
  <c r="N58" i="1"/>
  <c r="I59" i="1"/>
  <c r="J59" i="1"/>
  <c r="K59" i="1"/>
  <c r="L59" i="1"/>
  <c r="M59" i="1"/>
  <c r="N59" i="1"/>
  <c r="I60" i="1"/>
  <c r="J60" i="1"/>
  <c r="K60" i="1"/>
  <c r="L60" i="1"/>
  <c r="M60" i="1"/>
  <c r="N60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I66" i="1"/>
  <c r="J66" i="1"/>
  <c r="K66" i="1"/>
  <c r="L66" i="1"/>
  <c r="M66" i="1"/>
  <c r="N66" i="1"/>
  <c r="I67" i="1"/>
  <c r="J67" i="1"/>
  <c r="K67" i="1"/>
  <c r="L67" i="1"/>
  <c r="M67" i="1"/>
  <c r="N67" i="1"/>
  <c r="I68" i="1"/>
  <c r="J68" i="1"/>
  <c r="K68" i="1"/>
  <c r="L68" i="1"/>
  <c r="M68" i="1"/>
  <c r="N68" i="1"/>
  <c r="I69" i="1"/>
  <c r="J69" i="1"/>
  <c r="K69" i="1"/>
  <c r="L69" i="1"/>
  <c r="M69" i="1"/>
  <c r="N69" i="1"/>
  <c r="I70" i="1"/>
  <c r="J70" i="1"/>
  <c r="K70" i="1"/>
  <c r="L70" i="1"/>
  <c r="M70" i="1"/>
  <c r="N70" i="1"/>
  <c r="I71" i="1"/>
  <c r="J71" i="1"/>
  <c r="K71" i="1"/>
  <c r="L71" i="1"/>
  <c r="M71" i="1"/>
  <c r="N71" i="1"/>
  <c r="I72" i="1"/>
  <c r="J72" i="1"/>
  <c r="K72" i="1"/>
  <c r="L72" i="1"/>
  <c r="M72" i="1"/>
  <c r="N72" i="1"/>
  <c r="I73" i="1"/>
  <c r="J73" i="1"/>
  <c r="K73" i="1"/>
  <c r="L73" i="1"/>
  <c r="M73" i="1"/>
  <c r="N73" i="1"/>
  <c r="I74" i="1"/>
  <c r="J74" i="1"/>
  <c r="K74" i="1"/>
  <c r="L74" i="1"/>
  <c r="M74" i="1"/>
  <c r="N74" i="1"/>
  <c r="I75" i="1"/>
  <c r="J75" i="1"/>
  <c r="K75" i="1"/>
  <c r="L75" i="1"/>
  <c r="M75" i="1"/>
  <c r="N75" i="1"/>
  <c r="I76" i="1"/>
  <c r="J76" i="1"/>
  <c r="K76" i="1"/>
  <c r="L76" i="1"/>
  <c r="M76" i="1"/>
  <c r="N76" i="1"/>
  <c r="I77" i="1"/>
  <c r="J77" i="1"/>
  <c r="K77" i="1"/>
  <c r="L77" i="1"/>
  <c r="M77" i="1"/>
  <c r="N77" i="1"/>
  <c r="I78" i="1"/>
  <c r="J78" i="1"/>
  <c r="K78" i="1"/>
  <c r="L78" i="1"/>
  <c r="M78" i="1"/>
  <c r="N78" i="1"/>
  <c r="I79" i="1"/>
  <c r="J79" i="1"/>
  <c r="K79" i="1"/>
  <c r="L79" i="1"/>
  <c r="M79" i="1"/>
  <c r="N79" i="1"/>
  <c r="I80" i="1"/>
  <c r="J80" i="1"/>
  <c r="K80" i="1"/>
  <c r="L80" i="1"/>
  <c r="M80" i="1"/>
  <c r="N80" i="1"/>
  <c r="I81" i="1"/>
  <c r="J81" i="1"/>
  <c r="K81" i="1"/>
  <c r="L81" i="1"/>
  <c r="M81" i="1"/>
  <c r="N81" i="1"/>
  <c r="I82" i="1"/>
  <c r="J82" i="1"/>
  <c r="K82" i="1"/>
  <c r="L82" i="1"/>
  <c r="M82" i="1"/>
  <c r="N82" i="1"/>
  <c r="I83" i="1"/>
  <c r="J83" i="1"/>
  <c r="K83" i="1"/>
  <c r="L83" i="1"/>
  <c r="M83" i="1"/>
  <c r="N83" i="1"/>
  <c r="I84" i="1"/>
  <c r="J84" i="1"/>
  <c r="K84" i="1"/>
  <c r="L84" i="1"/>
  <c r="M84" i="1"/>
  <c r="N84" i="1"/>
  <c r="I85" i="1"/>
  <c r="J85" i="1"/>
  <c r="K85" i="1"/>
  <c r="L85" i="1"/>
  <c r="M85" i="1"/>
  <c r="N85" i="1"/>
  <c r="I86" i="1"/>
  <c r="J86" i="1"/>
  <c r="K86" i="1"/>
  <c r="L86" i="1"/>
  <c r="M86" i="1"/>
  <c r="N86" i="1"/>
  <c r="I87" i="1"/>
  <c r="J87" i="1"/>
  <c r="K87" i="1"/>
  <c r="L87" i="1"/>
  <c r="M87" i="1"/>
  <c r="N87" i="1"/>
  <c r="I88" i="1"/>
  <c r="J88" i="1"/>
  <c r="K88" i="1"/>
  <c r="L88" i="1"/>
  <c r="M88" i="1"/>
  <c r="N88" i="1"/>
  <c r="I89" i="1"/>
  <c r="J89" i="1"/>
  <c r="K89" i="1"/>
  <c r="L89" i="1"/>
  <c r="M89" i="1"/>
  <c r="N89" i="1"/>
  <c r="I90" i="1"/>
  <c r="J90" i="1"/>
  <c r="K90" i="1"/>
  <c r="L90" i="1"/>
  <c r="M90" i="1"/>
  <c r="N90" i="1"/>
  <c r="I91" i="1"/>
  <c r="J91" i="1"/>
  <c r="K91" i="1"/>
  <c r="L91" i="1"/>
  <c r="M91" i="1"/>
  <c r="N91" i="1"/>
  <c r="I92" i="1"/>
  <c r="J92" i="1"/>
  <c r="K92" i="1"/>
  <c r="L92" i="1"/>
  <c r="M92" i="1"/>
  <c r="N92" i="1"/>
  <c r="I93" i="1"/>
  <c r="J93" i="1"/>
  <c r="K93" i="1"/>
  <c r="L93" i="1"/>
  <c r="M93" i="1"/>
  <c r="N93" i="1"/>
  <c r="I94" i="1"/>
  <c r="J94" i="1"/>
  <c r="K94" i="1"/>
  <c r="L94" i="1"/>
  <c r="M94" i="1"/>
  <c r="N94" i="1"/>
  <c r="E15" i="10"/>
  <c r="E17" i="10"/>
  <c r="E16" i="10"/>
  <c r="E9" i="10"/>
  <c r="E14" i="10"/>
  <c r="E20" i="10"/>
  <c r="E21" i="10"/>
  <c r="E13" i="10"/>
  <c r="Z26" i="1"/>
  <c r="J23" i="1"/>
  <c r="M32" i="1" s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30" i="1" s="1"/>
  <c r="M44" i="1"/>
  <c r="N44" i="1"/>
  <c r="M29" i="1"/>
  <c r="N29" i="1"/>
  <c r="O29" i="1"/>
  <c r="M31" i="1"/>
  <c r="M24" i="1" s="1"/>
  <c r="N31" i="1"/>
  <c r="N24" i="1" s="1"/>
  <c r="O31" i="1"/>
  <c r="O24" i="1" s="1"/>
  <c r="K10" i="1"/>
  <c r="L10" i="1"/>
  <c r="K11" i="1"/>
  <c r="L11" i="1"/>
  <c r="J10" i="1"/>
  <c r="J11" i="1"/>
  <c r="K31" i="1"/>
  <c r="K24" i="1" s="1"/>
  <c r="L31" i="1"/>
  <c r="L24" i="1" s="1"/>
  <c r="J31" i="1"/>
  <c r="J24" i="1" s="1"/>
  <c r="K29" i="1"/>
  <c r="K32" i="1" s="1"/>
  <c r="L29" i="1"/>
  <c r="L32" i="1" s="1"/>
  <c r="J29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J35" i="1"/>
  <c r="K35" i="1"/>
  <c r="I35" i="1"/>
  <c r="J30" i="1" s="1"/>
  <c r="N32" i="1"/>
  <c r="Q22" i="7"/>
  <c r="R30" i="7"/>
  <c r="G14" i="9"/>
  <c r="H24" i="5"/>
  <c r="H21" i="5"/>
  <c r="H17" i="5"/>
  <c r="H18" i="5" s="1"/>
  <c r="C25" i="8"/>
  <c r="C24" i="8"/>
  <c r="E8" i="5"/>
  <c r="E9" i="5"/>
  <c r="E13" i="5" s="1"/>
  <c r="E10" i="5"/>
  <c r="E7" i="4"/>
  <c r="E11" i="4" s="1"/>
  <c r="E8" i="4"/>
  <c r="E9" i="4"/>
  <c r="E10" i="4" s="1"/>
  <c r="E12" i="4" s="1"/>
  <c r="R7" i="4"/>
  <c r="R8" i="4"/>
  <c r="R9" i="4"/>
  <c r="R10" i="4"/>
  <c r="R11" i="4"/>
  <c r="R12" i="4"/>
  <c r="N21" i="1"/>
  <c r="L20" i="1"/>
  <c r="J19" i="1"/>
  <c r="L19" i="4"/>
  <c r="E11" i="5"/>
  <c r="E12" i="5" s="1"/>
  <c r="G13" i="9"/>
  <c r="G12" i="9"/>
  <c r="G11" i="9"/>
  <c r="C12" i="9"/>
  <c r="C11" i="9"/>
  <c r="C13" i="9"/>
  <c r="AK37" i="7"/>
  <c r="AK36" i="7"/>
  <c r="AK34" i="7"/>
  <c r="AK35" i="7" s="1"/>
  <c r="AK38" i="7" s="1"/>
  <c r="AK39" i="7" s="1"/>
  <c r="AJ30" i="7" s="1"/>
  <c r="AJ31" i="7" s="1"/>
  <c r="AK33" i="7"/>
  <c r="L12" i="2"/>
  <c r="K12" i="2"/>
  <c r="C17" i="8"/>
  <c r="C16" i="8" s="1"/>
  <c r="AR7" i="7"/>
  <c r="AR4" i="7"/>
  <c r="R6" i="7"/>
  <c r="R7" i="7" s="1"/>
  <c r="Q15" i="7"/>
  <c r="AL4" i="7"/>
  <c r="AL5" i="7"/>
  <c r="AL13" i="7"/>
  <c r="AL15" i="7" s="1"/>
  <c r="AJ18" i="7" s="1"/>
  <c r="AJ20" i="7" s="1"/>
  <c r="AL14" i="7"/>
  <c r="AJ19" i="7"/>
  <c r="Q9" i="2"/>
  <c r="AI11" i="1"/>
  <c r="V11" i="7"/>
  <c r="V6" i="7"/>
  <c r="U11" i="4"/>
  <c r="H35" i="5"/>
  <c r="H31" i="5"/>
  <c r="C18" i="2"/>
  <c r="N9" i="2"/>
  <c r="M10" i="2"/>
  <c r="E5" i="2"/>
  <c r="E6" i="2"/>
  <c r="E7" i="2"/>
  <c r="E8" i="2"/>
  <c r="E9" i="2"/>
  <c r="E10" i="2"/>
  <c r="E11" i="2"/>
  <c r="E12" i="2"/>
  <c r="E13" i="2"/>
  <c r="E4" i="2"/>
  <c r="D14" i="2"/>
  <c r="C14" i="2"/>
  <c r="C19" i="2" s="1"/>
  <c r="C7" i="8"/>
  <c r="D6" i="6"/>
  <c r="AE6" i="7"/>
  <c r="AF6" i="7"/>
  <c r="AG6" i="7"/>
  <c r="AE7" i="7"/>
  <c r="AF7" i="7"/>
  <c r="AG7" i="7"/>
  <c r="AE8" i="7"/>
  <c r="AF8" i="7"/>
  <c r="AG8" i="7"/>
  <c r="AE9" i="7"/>
  <c r="AF9" i="7"/>
  <c r="AG9" i="7"/>
  <c r="AE10" i="7"/>
  <c r="AF10" i="7"/>
  <c r="AG10" i="7"/>
  <c r="AE11" i="7"/>
  <c r="AF11" i="7"/>
  <c r="AG11" i="7"/>
  <c r="AE12" i="7"/>
  <c r="AF12" i="7"/>
  <c r="AG12" i="7"/>
  <c r="AE13" i="7"/>
  <c r="AF13" i="7"/>
  <c r="AG13" i="7"/>
  <c r="AE14" i="7"/>
  <c r="AF14" i="7"/>
  <c r="AG14" i="7"/>
  <c r="AE15" i="7"/>
  <c r="AF15" i="7"/>
  <c r="AG15" i="7"/>
  <c r="AE16" i="7"/>
  <c r="AF16" i="7"/>
  <c r="AG16" i="7"/>
  <c r="AE17" i="7"/>
  <c r="AF17" i="7"/>
  <c r="AG17" i="7"/>
  <c r="AE18" i="7"/>
  <c r="AF18" i="7"/>
  <c r="AG18" i="7"/>
  <c r="AE19" i="7"/>
  <c r="AF19" i="7"/>
  <c r="AG19" i="7"/>
  <c r="AE20" i="7"/>
  <c r="AF20" i="7"/>
  <c r="AG20" i="7"/>
  <c r="AE21" i="7"/>
  <c r="AF21" i="7"/>
  <c r="AG21" i="7"/>
  <c r="AE22" i="7"/>
  <c r="AF22" i="7"/>
  <c r="AG22" i="7"/>
  <c r="AE23" i="7"/>
  <c r="AF23" i="7"/>
  <c r="AG23" i="7"/>
  <c r="AE24" i="7"/>
  <c r="AF24" i="7"/>
  <c r="AG24" i="7"/>
  <c r="AE25" i="7"/>
  <c r="AF25" i="7"/>
  <c r="AG25" i="7"/>
  <c r="AE26" i="7"/>
  <c r="AF26" i="7"/>
  <c r="AG26" i="7"/>
  <c r="AE27" i="7"/>
  <c r="AF27" i="7"/>
  <c r="AG27" i="7"/>
  <c r="AE28" i="7"/>
  <c r="AF28" i="7"/>
  <c r="AG28" i="7"/>
  <c r="AE29" i="7"/>
  <c r="AF29" i="7"/>
  <c r="AG29" i="7"/>
  <c r="AE30" i="7"/>
  <c r="AF30" i="7"/>
  <c r="AG30" i="7"/>
  <c r="AE31" i="7"/>
  <c r="AF31" i="7"/>
  <c r="AG31" i="7"/>
  <c r="AE32" i="7"/>
  <c r="AF32" i="7"/>
  <c r="AG32" i="7"/>
  <c r="AE33" i="7"/>
  <c r="AF33" i="7"/>
  <c r="AG33" i="7"/>
  <c r="AE34" i="7"/>
  <c r="AF34" i="7"/>
  <c r="AG34" i="7"/>
  <c r="AE35" i="7"/>
  <c r="AF35" i="7"/>
  <c r="AG35" i="7"/>
  <c r="AE36" i="7"/>
  <c r="AF36" i="7"/>
  <c r="AG36" i="7"/>
  <c r="AE37" i="7"/>
  <c r="AF37" i="7"/>
  <c r="AG37" i="7"/>
  <c r="AE38" i="7"/>
  <c r="AF38" i="7"/>
  <c r="AG38" i="7"/>
  <c r="AE39" i="7"/>
  <c r="AF39" i="7"/>
  <c r="AG39" i="7"/>
  <c r="AE40" i="7"/>
  <c r="AF40" i="7"/>
  <c r="AG40" i="7"/>
  <c r="AE41" i="7"/>
  <c r="AF41" i="7"/>
  <c r="AG41" i="7"/>
  <c r="AE42" i="7"/>
  <c r="AF42" i="7"/>
  <c r="AG42" i="7"/>
  <c r="AE43" i="7"/>
  <c r="AF43" i="7"/>
  <c r="AG43" i="7"/>
  <c r="AE44" i="7"/>
  <c r="AF44" i="7"/>
  <c r="AG44" i="7"/>
  <c r="AE45" i="7"/>
  <c r="AF45" i="7"/>
  <c r="AG45" i="7"/>
  <c r="AE46" i="7"/>
  <c r="AF46" i="7"/>
  <c r="AG46" i="7"/>
  <c r="AE47" i="7"/>
  <c r="AF47" i="7"/>
  <c r="AG47" i="7"/>
  <c r="AE48" i="7"/>
  <c r="AF48" i="7"/>
  <c r="AG48" i="7"/>
  <c r="AE49" i="7"/>
  <c r="AF49" i="7"/>
  <c r="AG49" i="7"/>
  <c r="AE50" i="7"/>
  <c r="AF50" i="7"/>
  <c r="AG50" i="7"/>
  <c r="AE51" i="7"/>
  <c r="AF51" i="7"/>
  <c r="AG51" i="7"/>
  <c r="AE52" i="7"/>
  <c r="AF52" i="7"/>
  <c r="AG52" i="7"/>
  <c r="AE53" i="7"/>
  <c r="AF53" i="7"/>
  <c r="AG53" i="7"/>
  <c r="AE54" i="7"/>
  <c r="AF54" i="7"/>
  <c r="AG54" i="7"/>
  <c r="AG5" i="7"/>
  <c r="AF5" i="7"/>
  <c r="AE5" i="7"/>
  <c r="Z54" i="7"/>
  <c r="AA54" i="7"/>
  <c r="AB54" i="7"/>
  <c r="Z6" i="7"/>
  <c r="AA6" i="7"/>
  <c r="AB6" i="7"/>
  <c r="Z7" i="7"/>
  <c r="AA7" i="7"/>
  <c r="AB7" i="7"/>
  <c r="Z8" i="7"/>
  <c r="AA8" i="7"/>
  <c r="AB8" i="7"/>
  <c r="Z9" i="7"/>
  <c r="AA9" i="7"/>
  <c r="AB9" i="7"/>
  <c r="Z10" i="7"/>
  <c r="AA10" i="7"/>
  <c r="AB10" i="7"/>
  <c r="Z11" i="7"/>
  <c r="AA11" i="7"/>
  <c r="AB11" i="7"/>
  <c r="Z12" i="7"/>
  <c r="AA12" i="7"/>
  <c r="AB12" i="7"/>
  <c r="Z13" i="7"/>
  <c r="AA13" i="7"/>
  <c r="AB13" i="7"/>
  <c r="Z14" i="7"/>
  <c r="AA14" i="7"/>
  <c r="AB14" i="7"/>
  <c r="Z15" i="7"/>
  <c r="AA15" i="7"/>
  <c r="AB15" i="7"/>
  <c r="Z16" i="7"/>
  <c r="AA16" i="7"/>
  <c r="AB16" i="7"/>
  <c r="Z17" i="7"/>
  <c r="AA17" i="7"/>
  <c r="AB17" i="7"/>
  <c r="Z18" i="7"/>
  <c r="AA18" i="7"/>
  <c r="AB18" i="7"/>
  <c r="Z19" i="7"/>
  <c r="AA19" i="7"/>
  <c r="AB19" i="7"/>
  <c r="Z20" i="7"/>
  <c r="AA20" i="7"/>
  <c r="AB20" i="7"/>
  <c r="Z21" i="7"/>
  <c r="AA21" i="7"/>
  <c r="AB21" i="7"/>
  <c r="Z22" i="7"/>
  <c r="AA22" i="7"/>
  <c r="AB22" i="7"/>
  <c r="Z23" i="7"/>
  <c r="AA23" i="7"/>
  <c r="AB23" i="7"/>
  <c r="Z24" i="7"/>
  <c r="AA24" i="7"/>
  <c r="AB24" i="7"/>
  <c r="Z25" i="7"/>
  <c r="AA25" i="7"/>
  <c r="AB25" i="7"/>
  <c r="Z26" i="7"/>
  <c r="AA26" i="7"/>
  <c r="AB26" i="7"/>
  <c r="Z27" i="7"/>
  <c r="AA27" i="7"/>
  <c r="AB27" i="7"/>
  <c r="Z28" i="7"/>
  <c r="AA28" i="7"/>
  <c r="AB28" i="7"/>
  <c r="Z29" i="7"/>
  <c r="AA29" i="7"/>
  <c r="AB29" i="7"/>
  <c r="Z30" i="7"/>
  <c r="AA30" i="7"/>
  <c r="AB30" i="7"/>
  <c r="Z31" i="7"/>
  <c r="AA31" i="7"/>
  <c r="AB31" i="7"/>
  <c r="Z32" i="7"/>
  <c r="AA32" i="7"/>
  <c r="AB32" i="7"/>
  <c r="Z33" i="7"/>
  <c r="AA33" i="7"/>
  <c r="AB33" i="7"/>
  <c r="Z34" i="7"/>
  <c r="AA34" i="7"/>
  <c r="AB34" i="7"/>
  <c r="Z35" i="7"/>
  <c r="AA35" i="7"/>
  <c r="AB35" i="7"/>
  <c r="Z36" i="7"/>
  <c r="AA36" i="7"/>
  <c r="AB36" i="7"/>
  <c r="Z37" i="7"/>
  <c r="AA37" i="7"/>
  <c r="AB37" i="7"/>
  <c r="Z38" i="7"/>
  <c r="AA38" i="7"/>
  <c r="AB38" i="7"/>
  <c r="Z39" i="7"/>
  <c r="AA39" i="7"/>
  <c r="AB39" i="7"/>
  <c r="Z40" i="7"/>
  <c r="AA40" i="7"/>
  <c r="AB40" i="7"/>
  <c r="Z41" i="7"/>
  <c r="AA41" i="7"/>
  <c r="AB41" i="7"/>
  <c r="Z42" i="7"/>
  <c r="AA42" i="7"/>
  <c r="AB42" i="7"/>
  <c r="Z43" i="7"/>
  <c r="AA43" i="7"/>
  <c r="AB43" i="7"/>
  <c r="Z44" i="7"/>
  <c r="AA44" i="7"/>
  <c r="AB44" i="7"/>
  <c r="Z45" i="7"/>
  <c r="AA45" i="7"/>
  <c r="AB45" i="7"/>
  <c r="Z46" i="7"/>
  <c r="AA46" i="7"/>
  <c r="AB46" i="7"/>
  <c r="Z47" i="7"/>
  <c r="AA47" i="7"/>
  <c r="AB47" i="7"/>
  <c r="Z48" i="7"/>
  <c r="AA48" i="7"/>
  <c r="AB48" i="7"/>
  <c r="Z49" i="7"/>
  <c r="AA49" i="7"/>
  <c r="AB49" i="7"/>
  <c r="Z50" i="7"/>
  <c r="AA50" i="7"/>
  <c r="AB50" i="7"/>
  <c r="Z51" i="7"/>
  <c r="AA51" i="7"/>
  <c r="AB51" i="7"/>
  <c r="Z52" i="7"/>
  <c r="AA52" i="7"/>
  <c r="AB52" i="7"/>
  <c r="Z53" i="7"/>
  <c r="AA53" i="7"/>
  <c r="AB53" i="7"/>
  <c r="AB5" i="7"/>
  <c r="AA5" i="7"/>
  <c r="Z5" i="7"/>
  <c r="U6" i="4"/>
  <c r="AI6" i="1"/>
  <c r="Q5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4" i="2"/>
  <c r="AV6" i="1"/>
  <c r="AW6" i="1"/>
  <c r="AX6" i="1"/>
  <c r="AY6" i="1"/>
  <c r="AZ6" i="1"/>
  <c r="BA6" i="1"/>
  <c r="BB6" i="1"/>
  <c r="AV7" i="1"/>
  <c r="AW7" i="1"/>
  <c r="AX7" i="1"/>
  <c r="AY7" i="1"/>
  <c r="AZ7" i="1"/>
  <c r="BA7" i="1"/>
  <c r="BB7" i="1"/>
  <c r="AV8" i="1"/>
  <c r="AW8" i="1"/>
  <c r="AX8" i="1"/>
  <c r="AY8" i="1"/>
  <c r="AZ8" i="1"/>
  <c r="BA8" i="1"/>
  <c r="BB8" i="1"/>
  <c r="AV9" i="1"/>
  <c r="AW9" i="1"/>
  <c r="AX9" i="1"/>
  <c r="AY9" i="1"/>
  <c r="AZ9" i="1"/>
  <c r="BA9" i="1"/>
  <c r="BB9" i="1"/>
  <c r="AV10" i="1"/>
  <c r="AW10" i="1"/>
  <c r="AX10" i="1"/>
  <c r="AY10" i="1"/>
  <c r="AZ10" i="1"/>
  <c r="BA10" i="1"/>
  <c r="BB10" i="1"/>
  <c r="AV11" i="1"/>
  <c r="AW11" i="1"/>
  <c r="AX11" i="1"/>
  <c r="AY11" i="1"/>
  <c r="AZ11" i="1"/>
  <c r="BA11" i="1"/>
  <c r="BB11" i="1"/>
  <c r="AV12" i="1"/>
  <c r="AW12" i="1"/>
  <c r="AX12" i="1"/>
  <c r="AY12" i="1"/>
  <c r="AZ12" i="1"/>
  <c r="BA12" i="1"/>
  <c r="BB12" i="1"/>
  <c r="AV13" i="1"/>
  <c r="AW13" i="1"/>
  <c r="AX13" i="1"/>
  <c r="AY13" i="1"/>
  <c r="AZ13" i="1"/>
  <c r="BA13" i="1"/>
  <c r="BB13" i="1"/>
  <c r="AV14" i="1"/>
  <c r="AW14" i="1"/>
  <c r="AX14" i="1"/>
  <c r="AY14" i="1"/>
  <c r="AZ14" i="1"/>
  <c r="BA14" i="1"/>
  <c r="BB14" i="1"/>
  <c r="AV15" i="1"/>
  <c r="AW15" i="1"/>
  <c r="AX15" i="1"/>
  <c r="AY15" i="1"/>
  <c r="AZ15" i="1"/>
  <c r="BA15" i="1"/>
  <c r="BB15" i="1"/>
  <c r="AV16" i="1"/>
  <c r="AW16" i="1"/>
  <c r="AX16" i="1"/>
  <c r="AY16" i="1"/>
  <c r="AZ16" i="1"/>
  <c r="BA16" i="1"/>
  <c r="BB16" i="1"/>
  <c r="AV17" i="1"/>
  <c r="AW17" i="1"/>
  <c r="AX17" i="1"/>
  <c r="AY17" i="1"/>
  <c r="AZ17" i="1"/>
  <c r="BA17" i="1"/>
  <c r="BB17" i="1"/>
  <c r="AV18" i="1"/>
  <c r="AW18" i="1"/>
  <c r="AX18" i="1"/>
  <c r="AY18" i="1"/>
  <c r="AZ18" i="1"/>
  <c r="BA18" i="1"/>
  <c r="BB18" i="1"/>
  <c r="AV19" i="1"/>
  <c r="AW19" i="1"/>
  <c r="AX19" i="1"/>
  <c r="AY19" i="1"/>
  <c r="AZ19" i="1"/>
  <c r="BA19" i="1"/>
  <c r="BB19" i="1"/>
  <c r="AV20" i="1"/>
  <c r="AW20" i="1"/>
  <c r="AX20" i="1"/>
  <c r="AY20" i="1"/>
  <c r="AZ20" i="1"/>
  <c r="BA20" i="1"/>
  <c r="BB20" i="1"/>
  <c r="AV21" i="1"/>
  <c r="AW21" i="1"/>
  <c r="AX21" i="1"/>
  <c r="AY21" i="1"/>
  <c r="AZ21" i="1"/>
  <c r="BA21" i="1"/>
  <c r="BB21" i="1"/>
  <c r="AV22" i="1"/>
  <c r="AW22" i="1"/>
  <c r="AX22" i="1"/>
  <c r="AY22" i="1"/>
  <c r="AZ22" i="1"/>
  <c r="BA22" i="1"/>
  <c r="BB22" i="1"/>
  <c r="AV23" i="1"/>
  <c r="AW23" i="1"/>
  <c r="AX23" i="1"/>
  <c r="AY23" i="1"/>
  <c r="AZ23" i="1"/>
  <c r="BA23" i="1"/>
  <c r="BB23" i="1"/>
  <c r="AV24" i="1"/>
  <c r="AW24" i="1"/>
  <c r="AX24" i="1"/>
  <c r="AY24" i="1"/>
  <c r="AZ24" i="1"/>
  <c r="BA24" i="1"/>
  <c r="BB24" i="1"/>
  <c r="AV25" i="1"/>
  <c r="AW25" i="1"/>
  <c r="AX25" i="1"/>
  <c r="AY25" i="1"/>
  <c r="AZ25" i="1"/>
  <c r="BA25" i="1"/>
  <c r="BB25" i="1"/>
  <c r="AV26" i="1"/>
  <c r="AW26" i="1"/>
  <c r="AX26" i="1"/>
  <c r="AY26" i="1"/>
  <c r="AZ26" i="1"/>
  <c r="BA26" i="1"/>
  <c r="BB26" i="1"/>
  <c r="AV27" i="1"/>
  <c r="AW27" i="1"/>
  <c r="AX27" i="1"/>
  <c r="AY27" i="1"/>
  <c r="AZ27" i="1"/>
  <c r="BA27" i="1"/>
  <c r="BB27" i="1"/>
  <c r="AV28" i="1"/>
  <c r="AW28" i="1"/>
  <c r="AX28" i="1"/>
  <c r="AY28" i="1"/>
  <c r="AZ28" i="1"/>
  <c r="BA28" i="1"/>
  <c r="BB28" i="1"/>
  <c r="AV29" i="1"/>
  <c r="AW29" i="1"/>
  <c r="AX29" i="1"/>
  <c r="AY29" i="1"/>
  <c r="AZ29" i="1"/>
  <c r="BA29" i="1"/>
  <c r="BB29" i="1"/>
  <c r="AV30" i="1"/>
  <c r="AW30" i="1"/>
  <c r="AX30" i="1"/>
  <c r="AY30" i="1"/>
  <c r="AZ30" i="1"/>
  <c r="BA30" i="1"/>
  <c r="BB30" i="1"/>
  <c r="AV31" i="1"/>
  <c r="AW31" i="1"/>
  <c r="AX31" i="1"/>
  <c r="AY31" i="1"/>
  <c r="AZ31" i="1"/>
  <c r="BA31" i="1"/>
  <c r="BB31" i="1"/>
  <c r="AV32" i="1"/>
  <c r="AW32" i="1"/>
  <c r="AX32" i="1"/>
  <c r="AY32" i="1"/>
  <c r="AZ32" i="1"/>
  <c r="BA32" i="1"/>
  <c r="BB32" i="1"/>
  <c r="AV33" i="1"/>
  <c r="AW33" i="1"/>
  <c r="AX33" i="1"/>
  <c r="AY33" i="1"/>
  <c r="AZ33" i="1"/>
  <c r="BA33" i="1"/>
  <c r="BB33" i="1"/>
  <c r="AV34" i="1"/>
  <c r="AW34" i="1"/>
  <c r="AX34" i="1"/>
  <c r="AY34" i="1"/>
  <c r="AZ34" i="1"/>
  <c r="BA34" i="1"/>
  <c r="BB34" i="1"/>
  <c r="AV35" i="1"/>
  <c r="AW35" i="1"/>
  <c r="AX35" i="1"/>
  <c r="AY35" i="1"/>
  <c r="AZ35" i="1"/>
  <c r="BA35" i="1"/>
  <c r="BB35" i="1"/>
  <c r="AV36" i="1"/>
  <c r="AW36" i="1"/>
  <c r="AX36" i="1"/>
  <c r="AY36" i="1"/>
  <c r="AZ36" i="1"/>
  <c r="BA36" i="1"/>
  <c r="BB36" i="1"/>
  <c r="AV37" i="1"/>
  <c r="AW37" i="1"/>
  <c r="AX37" i="1"/>
  <c r="AY37" i="1"/>
  <c r="AZ37" i="1"/>
  <c r="BA37" i="1"/>
  <c r="BB37" i="1"/>
  <c r="AV38" i="1"/>
  <c r="AW38" i="1"/>
  <c r="AX38" i="1"/>
  <c r="AY38" i="1"/>
  <c r="AZ38" i="1"/>
  <c r="BA38" i="1"/>
  <c r="BB38" i="1"/>
  <c r="AV39" i="1"/>
  <c r="AW39" i="1"/>
  <c r="AX39" i="1"/>
  <c r="AY39" i="1"/>
  <c r="AZ39" i="1"/>
  <c r="BA39" i="1"/>
  <c r="BB39" i="1"/>
  <c r="AV40" i="1"/>
  <c r="AW40" i="1"/>
  <c r="AX40" i="1"/>
  <c r="AY40" i="1"/>
  <c r="AZ40" i="1"/>
  <c r="BA40" i="1"/>
  <c r="BB40" i="1"/>
  <c r="AV41" i="1"/>
  <c r="AW41" i="1"/>
  <c r="AX41" i="1"/>
  <c r="AY41" i="1"/>
  <c r="AZ41" i="1"/>
  <c r="BA41" i="1"/>
  <c r="BB41" i="1"/>
  <c r="AV42" i="1"/>
  <c r="AW42" i="1"/>
  <c r="AX42" i="1"/>
  <c r="AY42" i="1"/>
  <c r="AZ42" i="1"/>
  <c r="BA42" i="1"/>
  <c r="BB42" i="1"/>
  <c r="AV43" i="1"/>
  <c r="AW43" i="1"/>
  <c r="AX43" i="1"/>
  <c r="AY43" i="1"/>
  <c r="AZ43" i="1"/>
  <c r="BA43" i="1"/>
  <c r="BB43" i="1"/>
  <c r="AV44" i="1"/>
  <c r="AW44" i="1"/>
  <c r="AX44" i="1"/>
  <c r="AY44" i="1"/>
  <c r="AZ44" i="1"/>
  <c r="BA44" i="1"/>
  <c r="BB44" i="1"/>
  <c r="AV45" i="1"/>
  <c r="AW45" i="1"/>
  <c r="AX45" i="1"/>
  <c r="AY45" i="1"/>
  <c r="AZ45" i="1"/>
  <c r="BA45" i="1"/>
  <c r="BB45" i="1"/>
  <c r="AV46" i="1"/>
  <c r="AW46" i="1"/>
  <c r="AX46" i="1"/>
  <c r="AY46" i="1"/>
  <c r="AZ46" i="1"/>
  <c r="BA46" i="1"/>
  <c r="BB46" i="1"/>
  <c r="AV47" i="1"/>
  <c r="AW47" i="1"/>
  <c r="AX47" i="1"/>
  <c r="AY47" i="1"/>
  <c r="AZ47" i="1"/>
  <c r="BA47" i="1"/>
  <c r="BB47" i="1"/>
  <c r="AV48" i="1"/>
  <c r="AW48" i="1"/>
  <c r="AX48" i="1"/>
  <c r="AY48" i="1"/>
  <c r="AZ48" i="1"/>
  <c r="BA48" i="1"/>
  <c r="BB48" i="1"/>
  <c r="AV49" i="1"/>
  <c r="AW49" i="1"/>
  <c r="AX49" i="1"/>
  <c r="AY49" i="1"/>
  <c r="AZ49" i="1"/>
  <c r="BA49" i="1"/>
  <c r="BB49" i="1"/>
  <c r="AV50" i="1"/>
  <c r="AW50" i="1"/>
  <c r="AX50" i="1"/>
  <c r="AY50" i="1"/>
  <c r="AZ50" i="1"/>
  <c r="BA50" i="1"/>
  <c r="BB50" i="1"/>
  <c r="AV51" i="1"/>
  <c r="AW51" i="1"/>
  <c r="AX51" i="1"/>
  <c r="AY51" i="1"/>
  <c r="AZ51" i="1"/>
  <c r="BA51" i="1"/>
  <c r="BB51" i="1"/>
  <c r="AV52" i="1"/>
  <c r="AW52" i="1"/>
  <c r="AX52" i="1"/>
  <c r="AY52" i="1"/>
  <c r="AZ52" i="1"/>
  <c r="BA52" i="1"/>
  <c r="BB52" i="1"/>
  <c r="AV53" i="1"/>
  <c r="AW53" i="1"/>
  <c r="AX53" i="1"/>
  <c r="AY53" i="1"/>
  <c r="AZ53" i="1"/>
  <c r="BA53" i="1"/>
  <c r="BB53" i="1"/>
  <c r="AV54" i="1"/>
  <c r="AW54" i="1"/>
  <c r="AX54" i="1"/>
  <c r="AY54" i="1"/>
  <c r="AZ54" i="1"/>
  <c r="BA54" i="1"/>
  <c r="BB54" i="1"/>
  <c r="AV55" i="1"/>
  <c r="AW55" i="1"/>
  <c r="AX55" i="1"/>
  <c r="AY55" i="1"/>
  <c r="AZ55" i="1"/>
  <c r="BA55" i="1"/>
  <c r="BB55" i="1"/>
  <c r="AW5" i="1"/>
  <c r="AX5" i="1"/>
  <c r="AY5" i="1"/>
  <c r="AZ5" i="1"/>
  <c r="BA5" i="1"/>
  <c r="BB5" i="1"/>
  <c r="AV5" i="1"/>
  <c r="M42" i="5"/>
  <c r="N42" i="5"/>
  <c r="O42" i="5"/>
  <c r="P42" i="5"/>
  <c r="Q42" i="5"/>
  <c r="R42" i="5"/>
  <c r="S42" i="5"/>
  <c r="T42" i="5"/>
  <c r="U42" i="5"/>
  <c r="L43" i="5"/>
  <c r="M43" i="5"/>
  <c r="N43" i="5"/>
  <c r="O43" i="5"/>
  <c r="P43" i="5"/>
  <c r="Q43" i="5"/>
  <c r="R43" i="5"/>
  <c r="S43" i="5"/>
  <c r="T43" i="5"/>
  <c r="U43" i="5"/>
  <c r="L44" i="5"/>
  <c r="L5" i="5"/>
  <c r="M5" i="5"/>
  <c r="N5" i="5"/>
  <c r="O5" i="5"/>
  <c r="P5" i="5"/>
  <c r="Q5" i="5"/>
  <c r="R5" i="5"/>
  <c r="S5" i="5"/>
  <c r="T5" i="5"/>
  <c r="U5" i="5"/>
  <c r="L6" i="5"/>
  <c r="M6" i="5"/>
  <c r="N6" i="5"/>
  <c r="O6" i="5"/>
  <c r="P6" i="5"/>
  <c r="Q6" i="5"/>
  <c r="R6" i="5"/>
  <c r="S6" i="5"/>
  <c r="T6" i="5"/>
  <c r="U6" i="5"/>
  <c r="L7" i="5"/>
  <c r="M7" i="5"/>
  <c r="N7" i="5"/>
  <c r="O7" i="5"/>
  <c r="P7" i="5"/>
  <c r="Q7" i="5"/>
  <c r="R7" i="5"/>
  <c r="S7" i="5"/>
  <c r="T7" i="5"/>
  <c r="U7" i="5"/>
  <c r="L8" i="5"/>
  <c r="M8" i="5"/>
  <c r="N8" i="5"/>
  <c r="O8" i="5"/>
  <c r="P8" i="5"/>
  <c r="Q8" i="5"/>
  <c r="R8" i="5"/>
  <c r="S8" i="5"/>
  <c r="T8" i="5"/>
  <c r="U8" i="5"/>
  <c r="L9" i="5"/>
  <c r="M9" i="5"/>
  <c r="N9" i="5"/>
  <c r="O9" i="5"/>
  <c r="P9" i="5"/>
  <c r="Q9" i="5"/>
  <c r="R9" i="5"/>
  <c r="S9" i="5"/>
  <c r="T9" i="5"/>
  <c r="U9" i="5"/>
  <c r="L10" i="5"/>
  <c r="M10" i="5"/>
  <c r="N10" i="5"/>
  <c r="O10" i="5"/>
  <c r="P10" i="5"/>
  <c r="Q10" i="5"/>
  <c r="R10" i="5"/>
  <c r="S10" i="5"/>
  <c r="T10" i="5"/>
  <c r="U10" i="5"/>
  <c r="L11" i="5"/>
  <c r="M11" i="5"/>
  <c r="N11" i="5"/>
  <c r="O11" i="5"/>
  <c r="P11" i="5"/>
  <c r="Q11" i="5"/>
  <c r="R11" i="5"/>
  <c r="S11" i="5"/>
  <c r="T11" i="5"/>
  <c r="U11" i="5"/>
  <c r="L12" i="5"/>
  <c r="M12" i="5"/>
  <c r="N12" i="5"/>
  <c r="O12" i="5"/>
  <c r="P12" i="5"/>
  <c r="Q12" i="5"/>
  <c r="R12" i="5"/>
  <c r="S12" i="5"/>
  <c r="T12" i="5"/>
  <c r="U12" i="5"/>
  <c r="L13" i="5"/>
  <c r="M13" i="5"/>
  <c r="N13" i="5"/>
  <c r="O13" i="5"/>
  <c r="P13" i="5"/>
  <c r="Q13" i="5"/>
  <c r="R13" i="5"/>
  <c r="S13" i="5"/>
  <c r="T13" i="5"/>
  <c r="U13" i="5"/>
  <c r="L14" i="5"/>
  <c r="M14" i="5"/>
  <c r="N14" i="5"/>
  <c r="O14" i="5"/>
  <c r="P14" i="5"/>
  <c r="Q14" i="5"/>
  <c r="R14" i="5"/>
  <c r="S14" i="5"/>
  <c r="T14" i="5"/>
  <c r="U14" i="5"/>
  <c r="L15" i="5"/>
  <c r="M15" i="5"/>
  <c r="N15" i="5"/>
  <c r="O15" i="5"/>
  <c r="P15" i="5"/>
  <c r="Q15" i="5"/>
  <c r="R15" i="5"/>
  <c r="S15" i="5"/>
  <c r="T15" i="5"/>
  <c r="U15" i="5"/>
  <c r="L16" i="5"/>
  <c r="M16" i="5"/>
  <c r="N16" i="5"/>
  <c r="O16" i="5"/>
  <c r="P16" i="5"/>
  <c r="Q16" i="5"/>
  <c r="R16" i="5"/>
  <c r="S16" i="5"/>
  <c r="T16" i="5"/>
  <c r="U16" i="5"/>
  <c r="L17" i="5"/>
  <c r="M17" i="5"/>
  <c r="N17" i="5"/>
  <c r="O17" i="5"/>
  <c r="P17" i="5"/>
  <c r="Q17" i="5"/>
  <c r="R17" i="5"/>
  <c r="S17" i="5"/>
  <c r="T17" i="5"/>
  <c r="U17" i="5"/>
  <c r="L18" i="5"/>
  <c r="M18" i="5"/>
  <c r="N18" i="5"/>
  <c r="O18" i="5"/>
  <c r="P18" i="5"/>
  <c r="Q18" i="5"/>
  <c r="R18" i="5"/>
  <c r="S18" i="5"/>
  <c r="T18" i="5"/>
  <c r="U18" i="5"/>
  <c r="L19" i="5"/>
  <c r="M19" i="5"/>
  <c r="N19" i="5"/>
  <c r="O19" i="5"/>
  <c r="P19" i="5"/>
  <c r="Q19" i="5"/>
  <c r="R19" i="5"/>
  <c r="S19" i="5"/>
  <c r="T19" i="5"/>
  <c r="U19" i="5"/>
  <c r="L20" i="5"/>
  <c r="M20" i="5"/>
  <c r="N20" i="5"/>
  <c r="O20" i="5"/>
  <c r="P20" i="5"/>
  <c r="Q20" i="5"/>
  <c r="R20" i="5"/>
  <c r="S20" i="5"/>
  <c r="T20" i="5"/>
  <c r="U20" i="5"/>
  <c r="L21" i="5"/>
  <c r="M21" i="5"/>
  <c r="N21" i="5"/>
  <c r="O21" i="5"/>
  <c r="P21" i="5"/>
  <c r="Q21" i="5"/>
  <c r="R21" i="5"/>
  <c r="S21" i="5"/>
  <c r="T21" i="5"/>
  <c r="U21" i="5"/>
  <c r="L22" i="5"/>
  <c r="M22" i="5"/>
  <c r="N22" i="5"/>
  <c r="O22" i="5"/>
  <c r="P22" i="5"/>
  <c r="Q22" i="5"/>
  <c r="R22" i="5"/>
  <c r="S22" i="5"/>
  <c r="T22" i="5"/>
  <c r="U22" i="5"/>
  <c r="L23" i="5"/>
  <c r="M23" i="5"/>
  <c r="N23" i="5"/>
  <c r="O23" i="5"/>
  <c r="P23" i="5"/>
  <c r="Q23" i="5"/>
  <c r="R23" i="5"/>
  <c r="S23" i="5"/>
  <c r="T23" i="5"/>
  <c r="U23" i="5"/>
  <c r="L24" i="5"/>
  <c r="M24" i="5"/>
  <c r="N24" i="5"/>
  <c r="O24" i="5"/>
  <c r="P24" i="5"/>
  <c r="Q24" i="5"/>
  <c r="R24" i="5"/>
  <c r="S24" i="5"/>
  <c r="T24" i="5"/>
  <c r="U24" i="5"/>
  <c r="L25" i="5"/>
  <c r="M25" i="5"/>
  <c r="N25" i="5"/>
  <c r="O25" i="5"/>
  <c r="P25" i="5"/>
  <c r="Q25" i="5"/>
  <c r="R25" i="5"/>
  <c r="S25" i="5"/>
  <c r="T25" i="5"/>
  <c r="U25" i="5"/>
  <c r="L26" i="5"/>
  <c r="M26" i="5"/>
  <c r="N26" i="5"/>
  <c r="O26" i="5"/>
  <c r="P26" i="5"/>
  <c r="Q26" i="5"/>
  <c r="R26" i="5"/>
  <c r="S26" i="5"/>
  <c r="T26" i="5"/>
  <c r="U26" i="5"/>
  <c r="L27" i="5"/>
  <c r="M27" i="5"/>
  <c r="N27" i="5"/>
  <c r="O27" i="5"/>
  <c r="P27" i="5"/>
  <c r="Q27" i="5"/>
  <c r="R27" i="5"/>
  <c r="S27" i="5"/>
  <c r="T27" i="5"/>
  <c r="U27" i="5"/>
  <c r="L28" i="5"/>
  <c r="M28" i="5"/>
  <c r="N28" i="5"/>
  <c r="O28" i="5"/>
  <c r="P28" i="5"/>
  <c r="Q28" i="5"/>
  <c r="R28" i="5"/>
  <c r="S28" i="5"/>
  <c r="T28" i="5"/>
  <c r="U28" i="5"/>
  <c r="L29" i="5"/>
  <c r="M29" i="5"/>
  <c r="N29" i="5"/>
  <c r="O29" i="5"/>
  <c r="P29" i="5"/>
  <c r="Q29" i="5"/>
  <c r="R29" i="5"/>
  <c r="S29" i="5"/>
  <c r="T29" i="5"/>
  <c r="U29" i="5"/>
  <c r="L30" i="5"/>
  <c r="M30" i="5"/>
  <c r="N30" i="5"/>
  <c r="O30" i="5"/>
  <c r="P30" i="5"/>
  <c r="Q30" i="5"/>
  <c r="R30" i="5"/>
  <c r="S30" i="5"/>
  <c r="T30" i="5"/>
  <c r="U30" i="5"/>
  <c r="L31" i="5"/>
  <c r="M31" i="5"/>
  <c r="N31" i="5"/>
  <c r="O31" i="5"/>
  <c r="P31" i="5"/>
  <c r="Q31" i="5"/>
  <c r="R31" i="5"/>
  <c r="S31" i="5"/>
  <c r="T31" i="5"/>
  <c r="U31" i="5"/>
  <c r="L32" i="5"/>
  <c r="M32" i="5"/>
  <c r="N32" i="5"/>
  <c r="O32" i="5"/>
  <c r="P32" i="5"/>
  <c r="Q32" i="5"/>
  <c r="R32" i="5"/>
  <c r="S32" i="5"/>
  <c r="T32" i="5"/>
  <c r="U32" i="5"/>
  <c r="L33" i="5"/>
  <c r="M33" i="5"/>
  <c r="N33" i="5"/>
  <c r="O33" i="5"/>
  <c r="P33" i="5"/>
  <c r="Q33" i="5"/>
  <c r="R33" i="5"/>
  <c r="S33" i="5"/>
  <c r="T33" i="5"/>
  <c r="U33" i="5"/>
  <c r="L34" i="5"/>
  <c r="M34" i="5"/>
  <c r="N34" i="5"/>
  <c r="O34" i="5"/>
  <c r="P34" i="5"/>
  <c r="Q34" i="5"/>
  <c r="R34" i="5"/>
  <c r="S34" i="5"/>
  <c r="T34" i="5"/>
  <c r="U34" i="5"/>
  <c r="L35" i="5"/>
  <c r="M35" i="5"/>
  <c r="N35" i="5"/>
  <c r="O35" i="5"/>
  <c r="P35" i="5"/>
  <c r="Q35" i="5"/>
  <c r="R35" i="5"/>
  <c r="S35" i="5"/>
  <c r="T35" i="5"/>
  <c r="U35" i="5"/>
  <c r="L36" i="5"/>
  <c r="M36" i="5"/>
  <c r="N36" i="5"/>
  <c r="O36" i="5"/>
  <c r="P36" i="5"/>
  <c r="Q36" i="5"/>
  <c r="R36" i="5"/>
  <c r="S36" i="5"/>
  <c r="T36" i="5"/>
  <c r="U36" i="5"/>
  <c r="L37" i="5"/>
  <c r="M37" i="5"/>
  <c r="N37" i="5"/>
  <c r="O37" i="5"/>
  <c r="P37" i="5"/>
  <c r="Q37" i="5"/>
  <c r="R37" i="5"/>
  <c r="S37" i="5"/>
  <c r="T37" i="5"/>
  <c r="U37" i="5"/>
  <c r="L38" i="5"/>
  <c r="M38" i="5"/>
  <c r="N38" i="5"/>
  <c r="O38" i="5"/>
  <c r="P38" i="5"/>
  <c r="Q38" i="5"/>
  <c r="R38" i="5"/>
  <c r="S38" i="5"/>
  <c r="T38" i="5"/>
  <c r="U38" i="5"/>
  <c r="L39" i="5"/>
  <c r="M39" i="5"/>
  <c r="N39" i="5"/>
  <c r="O39" i="5"/>
  <c r="P39" i="5"/>
  <c r="Q39" i="5"/>
  <c r="R39" i="5"/>
  <c r="S39" i="5"/>
  <c r="T39" i="5"/>
  <c r="U39" i="5"/>
  <c r="L40" i="5"/>
  <c r="M40" i="5"/>
  <c r="N40" i="5"/>
  <c r="O40" i="5"/>
  <c r="P40" i="5"/>
  <c r="Q40" i="5"/>
  <c r="R40" i="5"/>
  <c r="S40" i="5"/>
  <c r="T40" i="5"/>
  <c r="U40" i="5"/>
  <c r="L41" i="5"/>
  <c r="M41" i="5"/>
  <c r="N41" i="5"/>
  <c r="O41" i="5"/>
  <c r="P41" i="5"/>
  <c r="Q41" i="5"/>
  <c r="R41" i="5"/>
  <c r="S41" i="5"/>
  <c r="T41" i="5"/>
  <c r="U41" i="5"/>
  <c r="L42" i="5"/>
  <c r="M4" i="5"/>
  <c r="N4" i="5"/>
  <c r="O4" i="5"/>
  <c r="P4" i="5"/>
  <c r="Q4" i="5"/>
  <c r="R4" i="5"/>
  <c r="S4" i="5"/>
  <c r="T4" i="5"/>
  <c r="U4" i="5"/>
  <c r="L4" i="5"/>
  <c r="AD6" i="4"/>
  <c r="AE6" i="4"/>
  <c r="AF6" i="4"/>
  <c r="AD7" i="4"/>
  <c r="AE7" i="4"/>
  <c r="AF7" i="4"/>
  <c r="AD8" i="4"/>
  <c r="AE8" i="4"/>
  <c r="AF8" i="4"/>
  <c r="AD9" i="4"/>
  <c r="AE9" i="4"/>
  <c r="AF9" i="4"/>
  <c r="AD10" i="4"/>
  <c r="AE10" i="4"/>
  <c r="AF10" i="4"/>
  <c r="AD11" i="4"/>
  <c r="AE11" i="4"/>
  <c r="AF11" i="4"/>
  <c r="AD12" i="4"/>
  <c r="AE12" i="4"/>
  <c r="AF12" i="4"/>
  <c r="AD13" i="4"/>
  <c r="AE13" i="4"/>
  <c r="AF13" i="4"/>
  <c r="AD14" i="4"/>
  <c r="AE14" i="4"/>
  <c r="AF14" i="4"/>
  <c r="AD15" i="4"/>
  <c r="AE15" i="4"/>
  <c r="AF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D22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F26" i="4"/>
  <c r="AD27" i="4"/>
  <c r="AE27" i="4"/>
  <c r="AF27" i="4"/>
  <c r="AD28" i="4"/>
  <c r="AE28" i="4"/>
  <c r="AF28" i="4"/>
  <c r="AD29" i="4"/>
  <c r="AE29" i="4"/>
  <c r="AF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F5" i="4"/>
  <c r="AE5" i="4"/>
  <c r="AD5" i="4"/>
  <c r="Y6" i="4"/>
  <c r="Z6" i="4"/>
  <c r="AA6" i="4"/>
  <c r="Y7" i="4"/>
  <c r="Z7" i="4"/>
  <c r="AA7" i="4"/>
  <c r="Y8" i="4"/>
  <c r="Z8" i="4"/>
  <c r="AA8" i="4"/>
  <c r="Y9" i="4"/>
  <c r="Z9" i="4"/>
  <c r="AA9" i="4"/>
  <c r="Y10" i="4"/>
  <c r="Z10" i="4"/>
  <c r="AA10" i="4"/>
  <c r="Y11" i="4"/>
  <c r="Z11" i="4"/>
  <c r="AA11" i="4"/>
  <c r="Y12" i="4"/>
  <c r="Z12" i="4"/>
  <c r="AA12" i="4"/>
  <c r="Y13" i="4"/>
  <c r="Z13" i="4"/>
  <c r="AA13" i="4"/>
  <c r="Y14" i="4"/>
  <c r="Z14" i="4"/>
  <c r="AA14" i="4"/>
  <c r="Y15" i="4"/>
  <c r="Z15" i="4"/>
  <c r="AA15" i="4"/>
  <c r="Y16" i="4"/>
  <c r="Z16" i="4"/>
  <c r="AA16" i="4"/>
  <c r="Y17" i="4"/>
  <c r="Z17" i="4"/>
  <c r="AA17" i="4"/>
  <c r="Y18" i="4"/>
  <c r="Z18" i="4"/>
  <c r="AA18" i="4"/>
  <c r="Y19" i="4"/>
  <c r="Z19" i="4"/>
  <c r="AA19" i="4"/>
  <c r="Y20" i="4"/>
  <c r="Z20" i="4"/>
  <c r="AA20" i="4"/>
  <c r="Y21" i="4"/>
  <c r="Z21" i="4"/>
  <c r="AA21" i="4"/>
  <c r="Y22" i="4"/>
  <c r="Z22" i="4"/>
  <c r="AA22" i="4"/>
  <c r="Y23" i="4"/>
  <c r="Z23" i="4"/>
  <c r="AA23" i="4"/>
  <c r="Y24" i="4"/>
  <c r="Z24" i="4"/>
  <c r="AA24" i="4"/>
  <c r="Y25" i="4"/>
  <c r="Z25" i="4"/>
  <c r="AA25" i="4"/>
  <c r="Y26" i="4"/>
  <c r="Z26" i="4"/>
  <c r="AA26" i="4"/>
  <c r="Y27" i="4"/>
  <c r="Z27" i="4"/>
  <c r="AA27" i="4"/>
  <c r="Y28" i="4"/>
  <c r="Z28" i="4"/>
  <c r="AA28" i="4"/>
  <c r="Y29" i="4"/>
  <c r="Z29" i="4"/>
  <c r="AA29" i="4"/>
  <c r="Y30" i="4"/>
  <c r="Z30" i="4"/>
  <c r="AA30" i="4"/>
  <c r="Y31" i="4"/>
  <c r="Z31" i="4"/>
  <c r="AA31" i="4"/>
  <c r="Y32" i="4"/>
  <c r="Z32" i="4"/>
  <c r="AA32" i="4"/>
  <c r="Y33" i="4"/>
  <c r="Z33" i="4"/>
  <c r="AA33" i="4"/>
  <c r="Y34" i="4"/>
  <c r="Z34" i="4"/>
  <c r="AA34" i="4"/>
  <c r="Y35" i="4"/>
  <c r="Z35" i="4"/>
  <c r="AA35" i="4"/>
  <c r="Y36" i="4"/>
  <c r="Z36" i="4"/>
  <c r="AA36" i="4"/>
  <c r="Y37" i="4"/>
  <c r="Z37" i="4"/>
  <c r="AA37" i="4"/>
  <c r="AA5" i="4"/>
  <c r="Z5" i="4"/>
  <c r="Y5" i="4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4" i="2"/>
  <c r="AM45" i="1"/>
  <c r="AN45" i="1"/>
  <c r="AO45" i="1"/>
  <c r="AP45" i="1"/>
  <c r="AQ45" i="1"/>
  <c r="AR45" i="1"/>
  <c r="AS45" i="1"/>
  <c r="AM46" i="1"/>
  <c r="AN46" i="1"/>
  <c r="AO46" i="1"/>
  <c r="AP46" i="1"/>
  <c r="AQ46" i="1"/>
  <c r="AR46" i="1"/>
  <c r="AS46" i="1"/>
  <c r="AM47" i="1"/>
  <c r="AN47" i="1"/>
  <c r="AO47" i="1"/>
  <c r="AP47" i="1"/>
  <c r="AQ47" i="1"/>
  <c r="AR47" i="1"/>
  <c r="AS47" i="1"/>
  <c r="AM48" i="1"/>
  <c r="AN48" i="1"/>
  <c r="AO48" i="1"/>
  <c r="AP48" i="1"/>
  <c r="AQ48" i="1"/>
  <c r="AR48" i="1"/>
  <c r="AS48" i="1"/>
  <c r="AM49" i="1"/>
  <c r="AN49" i="1"/>
  <c r="AO49" i="1"/>
  <c r="AP49" i="1"/>
  <c r="AQ49" i="1"/>
  <c r="AR49" i="1"/>
  <c r="AS49" i="1"/>
  <c r="AM50" i="1"/>
  <c r="AN50" i="1"/>
  <c r="AO50" i="1"/>
  <c r="AP50" i="1"/>
  <c r="AQ50" i="1"/>
  <c r="AR50" i="1"/>
  <c r="AS50" i="1"/>
  <c r="AM51" i="1"/>
  <c r="AN51" i="1"/>
  <c r="AO51" i="1"/>
  <c r="AP51" i="1"/>
  <c r="AQ51" i="1"/>
  <c r="AR51" i="1"/>
  <c r="AS51" i="1"/>
  <c r="AM52" i="1"/>
  <c r="AN52" i="1"/>
  <c r="AO52" i="1"/>
  <c r="AP52" i="1"/>
  <c r="AQ52" i="1"/>
  <c r="AR52" i="1"/>
  <c r="AS52" i="1"/>
  <c r="AM53" i="1"/>
  <c r="AN53" i="1"/>
  <c r="AO53" i="1"/>
  <c r="AP53" i="1"/>
  <c r="AQ53" i="1"/>
  <c r="AR53" i="1"/>
  <c r="AS53" i="1"/>
  <c r="AM54" i="1"/>
  <c r="AN54" i="1"/>
  <c r="AO54" i="1"/>
  <c r="AP54" i="1"/>
  <c r="AQ54" i="1"/>
  <c r="AR54" i="1"/>
  <c r="AS54" i="1"/>
  <c r="AM55" i="1"/>
  <c r="AN55" i="1"/>
  <c r="AO55" i="1"/>
  <c r="AP55" i="1"/>
  <c r="AQ55" i="1"/>
  <c r="AR55" i="1"/>
  <c r="AS55" i="1"/>
  <c r="AM15" i="1"/>
  <c r="AN15" i="1"/>
  <c r="AO15" i="1"/>
  <c r="AP15" i="1"/>
  <c r="AQ15" i="1"/>
  <c r="AR15" i="1"/>
  <c r="AS15" i="1"/>
  <c r="AM16" i="1"/>
  <c r="AN16" i="1"/>
  <c r="AO16" i="1"/>
  <c r="AP16" i="1"/>
  <c r="AQ16" i="1"/>
  <c r="AR16" i="1"/>
  <c r="AS16" i="1"/>
  <c r="AM17" i="1"/>
  <c r="AN17" i="1"/>
  <c r="AO17" i="1"/>
  <c r="AP17" i="1"/>
  <c r="AQ17" i="1"/>
  <c r="AR17" i="1"/>
  <c r="AS17" i="1"/>
  <c r="AM18" i="1"/>
  <c r="AN18" i="1"/>
  <c r="AO18" i="1"/>
  <c r="AP18" i="1"/>
  <c r="AQ18" i="1"/>
  <c r="AR18" i="1"/>
  <c r="AS18" i="1"/>
  <c r="AM19" i="1"/>
  <c r="AN19" i="1"/>
  <c r="AO19" i="1"/>
  <c r="AP19" i="1"/>
  <c r="AQ19" i="1"/>
  <c r="AR19" i="1"/>
  <c r="AS19" i="1"/>
  <c r="AM20" i="1"/>
  <c r="AN20" i="1"/>
  <c r="AO20" i="1"/>
  <c r="AP20" i="1"/>
  <c r="AQ20" i="1"/>
  <c r="AR20" i="1"/>
  <c r="AS20" i="1"/>
  <c r="AM21" i="1"/>
  <c r="AN21" i="1"/>
  <c r="AO21" i="1"/>
  <c r="AP21" i="1"/>
  <c r="AQ21" i="1"/>
  <c r="AR21" i="1"/>
  <c r="AS21" i="1"/>
  <c r="AM22" i="1"/>
  <c r="AN22" i="1"/>
  <c r="AO22" i="1"/>
  <c r="AP22" i="1"/>
  <c r="AQ22" i="1"/>
  <c r="AR22" i="1"/>
  <c r="AS22" i="1"/>
  <c r="AM23" i="1"/>
  <c r="AN23" i="1"/>
  <c r="AO23" i="1"/>
  <c r="AP23" i="1"/>
  <c r="AQ23" i="1"/>
  <c r="AR23" i="1"/>
  <c r="AS23" i="1"/>
  <c r="AM24" i="1"/>
  <c r="AN24" i="1"/>
  <c r="AO24" i="1"/>
  <c r="AP24" i="1"/>
  <c r="AQ24" i="1"/>
  <c r="AR24" i="1"/>
  <c r="AS24" i="1"/>
  <c r="AM25" i="1"/>
  <c r="AN25" i="1"/>
  <c r="AO25" i="1"/>
  <c r="AP25" i="1"/>
  <c r="AQ25" i="1"/>
  <c r="AR25" i="1"/>
  <c r="AS25" i="1"/>
  <c r="AM26" i="1"/>
  <c r="AN26" i="1"/>
  <c r="AO26" i="1"/>
  <c r="AP26" i="1"/>
  <c r="AQ26" i="1"/>
  <c r="AR26" i="1"/>
  <c r="AS26" i="1"/>
  <c r="AM27" i="1"/>
  <c r="AN27" i="1"/>
  <c r="AO27" i="1"/>
  <c r="AP27" i="1"/>
  <c r="AQ27" i="1"/>
  <c r="AR27" i="1"/>
  <c r="AS27" i="1"/>
  <c r="AM28" i="1"/>
  <c r="AN28" i="1"/>
  <c r="AO28" i="1"/>
  <c r="AP28" i="1"/>
  <c r="AQ28" i="1"/>
  <c r="AR28" i="1"/>
  <c r="AS28" i="1"/>
  <c r="AM29" i="1"/>
  <c r="AN29" i="1"/>
  <c r="AO29" i="1"/>
  <c r="AP29" i="1"/>
  <c r="AQ29" i="1"/>
  <c r="AR29" i="1"/>
  <c r="AS29" i="1"/>
  <c r="AM30" i="1"/>
  <c r="AN30" i="1"/>
  <c r="AO30" i="1"/>
  <c r="AP30" i="1"/>
  <c r="AQ30" i="1"/>
  <c r="AR30" i="1"/>
  <c r="AS30" i="1"/>
  <c r="AM31" i="1"/>
  <c r="AN31" i="1"/>
  <c r="AO31" i="1"/>
  <c r="AP31" i="1"/>
  <c r="AQ31" i="1"/>
  <c r="AR31" i="1"/>
  <c r="AS31" i="1"/>
  <c r="AM32" i="1"/>
  <c r="AN32" i="1"/>
  <c r="AO32" i="1"/>
  <c r="AP32" i="1"/>
  <c r="AQ32" i="1"/>
  <c r="AR32" i="1"/>
  <c r="AS32" i="1"/>
  <c r="AM33" i="1"/>
  <c r="AN33" i="1"/>
  <c r="AO33" i="1"/>
  <c r="AP33" i="1"/>
  <c r="AQ33" i="1"/>
  <c r="AR33" i="1"/>
  <c r="AS33" i="1"/>
  <c r="AM34" i="1"/>
  <c r="AN34" i="1"/>
  <c r="AO34" i="1"/>
  <c r="AP34" i="1"/>
  <c r="AQ34" i="1"/>
  <c r="AR34" i="1"/>
  <c r="AS34" i="1"/>
  <c r="AM35" i="1"/>
  <c r="AN35" i="1"/>
  <c r="AO35" i="1"/>
  <c r="AP35" i="1"/>
  <c r="AQ35" i="1"/>
  <c r="AR35" i="1"/>
  <c r="AS35" i="1"/>
  <c r="AM36" i="1"/>
  <c r="AN36" i="1"/>
  <c r="AO36" i="1"/>
  <c r="AP36" i="1"/>
  <c r="AQ36" i="1"/>
  <c r="AR36" i="1"/>
  <c r="AS36" i="1"/>
  <c r="AM37" i="1"/>
  <c r="AN37" i="1"/>
  <c r="AO37" i="1"/>
  <c r="AP37" i="1"/>
  <c r="AQ37" i="1"/>
  <c r="AR37" i="1"/>
  <c r="AS37" i="1"/>
  <c r="AM38" i="1"/>
  <c r="AN38" i="1"/>
  <c r="AO38" i="1"/>
  <c r="AP38" i="1"/>
  <c r="AQ38" i="1"/>
  <c r="AR38" i="1"/>
  <c r="AS38" i="1"/>
  <c r="AM39" i="1"/>
  <c r="AN39" i="1"/>
  <c r="AO39" i="1"/>
  <c r="AP39" i="1"/>
  <c r="AQ39" i="1"/>
  <c r="AR39" i="1"/>
  <c r="AS39" i="1"/>
  <c r="AM40" i="1"/>
  <c r="AN40" i="1"/>
  <c r="AO40" i="1"/>
  <c r="AP40" i="1"/>
  <c r="AQ40" i="1"/>
  <c r="AR40" i="1"/>
  <c r="AS40" i="1"/>
  <c r="AM41" i="1"/>
  <c r="AN41" i="1"/>
  <c r="AO41" i="1"/>
  <c r="AP41" i="1"/>
  <c r="AQ41" i="1"/>
  <c r="AR41" i="1"/>
  <c r="AS41" i="1"/>
  <c r="AM42" i="1"/>
  <c r="AN42" i="1"/>
  <c r="AO42" i="1"/>
  <c r="AP42" i="1"/>
  <c r="AQ42" i="1"/>
  <c r="AR42" i="1"/>
  <c r="AS42" i="1"/>
  <c r="AM43" i="1"/>
  <c r="AN43" i="1"/>
  <c r="AO43" i="1"/>
  <c r="AP43" i="1"/>
  <c r="AQ43" i="1"/>
  <c r="AR43" i="1"/>
  <c r="AS43" i="1"/>
  <c r="AM44" i="1"/>
  <c r="AN44" i="1"/>
  <c r="AO44" i="1"/>
  <c r="AP44" i="1"/>
  <c r="AQ44" i="1"/>
  <c r="AR44" i="1"/>
  <c r="AS44" i="1"/>
  <c r="AM6" i="1"/>
  <c r="AN6" i="1"/>
  <c r="AO6" i="1"/>
  <c r="AP6" i="1"/>
  <c r="AQ6" i="1"/>
  <c r="AR6" i="1"/>
  <c r="AS6" i="1"/>
  <c r="AM7" i="1"/>
  <c r="AN7" i="1"/>
  <c r="AO7" i="1"/>
  <c r="AP7" i="1"/>
  <c r="AQ7" i="1"/>
  <c r="AR7" i="1"/>
  <c r="AS7" i="1"/>
  <c r="AM8" i="1"/>
  <c r="AN8" i="1"/>
  <c r="AO8" i="1"/>
  <c r="AP8" i="1"/>
  <c r="AQ8" i="1"/>
  <c r="AR8" i="1"/>
  <c r="AS8" i="1"/>
  <c r="AM9" i="1"/>
  <c r="AN9" i="1"/>
  <c r="AO9" i="1"/>
  <c r="AP9" i="1"/>
  <c r="AQ9" i="1"/>
  <c r="AR9" i="1"/>
  <c r="AS9" i="1"/>
  <c r="AM10" i="1"/>
  <c r="AN10" i="1"/>
  <c r="AO10" i="1"/>
  <c r="AP10" i="1"/>
  <c r="AQ10" i="1"/>
  <c r="AR10" i="1"/>
  <c r="AS10" i="1"/>
  <c r="AM11" i="1"/>
  <c r="AN11" i="1"/>
  <c r="AO11" i="1"/>
  <c r="AP11" i="1"/>
  <c r="AQ11" i="1"/>
  <c r="AR11" i="1"/>
  <c r="AS11" i="1"/>
  <c r="AM12" i="1"/>
  <c r="AN12" i="1"/>
  <c r="AO12" i="1"/>
  <c r="AP12" i="1"/>
  <c r="AQ12" i="1"/>
  <c r="AR12" i="1"/>
  <c r="AS12" i="1"/>
  <c r="AM13" i="1"/>
  <c r="AN13" i="1"/>
  <c r="AO13" i="1"/>
  <c r="AP13" i="1"/>
  <c r="AQ13" i="1"/>
  <c r="AR13" i="1"/>
  <c r="AS13" i="1"/>
  <c r="AM14" i="1"/>
  <c r="AN14" i="1"/>
  <c r="AO14" i="1"/>
  <c r="AP14" i="1"/>
  <c r="AQ14" i="1"/>
  <c r="AR14" i="1"/>
  <c r="AS14" i="1"/>
  <c r="AN5" i="1"/>
  <c r="AO5" i="1"/>
  <c r="AP5" i="1"/>
  <c r="AQ5" i="1"/>
  <c r="AR5" i="1"/>
  <c r="AS5" i="1"/>
  <c r="AM5" i="1"/>
  <c r="AJ9" i="7"/>
  <c r="AJ10" i="7" s="1"/>
  <c r="C9" i="9"/>
  <c r="G9" i="9"/>
  <c r="E13" i="4" l="1"/>
  <c r="J32" i="1"/>
  <c r="P32" i="1" s="1"/>
  <c r="J25" i="1"/>
  <c r="O30" i="1"/>
  <c r="AF33" i="1"/>
  <c r="AA10" i="1" s="1"/>
  <c r="AA7" i="1" s="1"/>
  <c r="N10" i="2"/>
  <c r="H25" i="2" s="1"/>
  <c r="H32" i="2" s="1"/>
  <c r="L18" i="4"/>
  <c r="AC32" i="1"/>
  <c r="R14" i="4"/>
  <c r="L30" i="1"/>
  <c r="P30" i="1" s="1"/>
  <c r="K30" i="1"/>
  <c r="E10" i="10"/>
  <c r="AC23" i="1"/>
  <c r="N30" i="1"/>
  <c r="AB32" i="1"/>
  <c r="AF32" i="1" s="1"/>
  <c r="Z10" i="1" s="1"/>
  <c r="AD12" i="1"/>
  <c r="G22" i="7"/>
  <c r="E14" i="2"/>
  <c r="C17" i="2" s="1"/>
  <c r="C20" i="2" s="1"/>
  <c r="AA9" i="1"/>
  <c r="K20" i="2"/>
  <c r="K27" i="2" s="1"/>
  <c r="K19" i="1"/>
  <c r="M20" i="1"/>
  <c r="K21" i="1"/>
  <c r="L19" i="1"/>
  <c r="O32" i="1"/>
  <c r="L7" i="4"/>
  <c r="L13" i="4" s="1"/>
  <c r="AA21" i="1"/>
  <c r="Z27" i="1"/>
  <c r="AA8" i="1" s="1"/>
  <c r="AE34" i="1"/>
  <c r="AB22" i="1"/>
  <c r="AD23" i="1"/>
  <c r="AD13" i="1"/>
  <c r="I24" i="2"/>
  <c r="I31" i="2" s="1"/>
  <c r="R18" i="4"/>
  <c r="K20" i="1"/>
  <c r="M21" i="1"/>
  <c r="L21" i="1"/>
  <c r="P29" i="1"/>
  <c r="L17" i="4"/>
  <c r="Z21" i="1"/>
  <c r="AA22" i="1"/>
  <c r="AF46" i="1"/>
  <c r="AF44" i="1"/>
  <c r="AF42" i="1"/>
  <c r="AF40" i="1"/>
  <c r="AF37" i="1"/>
  <c r="Z8" i="1" s="1"/>
  <c r="AD34" i="1"/>
  <c r="AB23" i="1"/>
  <c r="AC12" i="1"/>
  <c r="AE12" i="1"/>
  <c r="J20" i="1"/>
  <c r="J21" i="1"/>
  <c r="K6" i="1"/>
  <c r="P31" i="1"/>
  <c r="K8" i="1" s="1"/>
  <c r="Z34" i="1"/>
  <c r="Z22" i="1"/>
  <c r="AA23" i="1"/>
  <c r="AC34" i="1"/>
  <c r="AC22" i="1"/>
  <c r="AC13" i="1"/>
  <c r="J25" i="2"/>
  <c r="J32" i="2" s="1"/>
  <c r="L23" i="2"/>
  <c r="L30" i="2" s="1"/>
  <c r="G21" i="7"/>
  <c r="G7" i="7" s="1"/>
  <c r="K25" i="2" l="1"/>
  <c r="K32" i="2" s="1"/>
  <c r="K21" i="2"/>
  <c r="K28" i="2" s="1"/>
  <c r="M22" i="2"/>
  <c r="M29" i="2" s="1"/>
  <c r="H20" i="2"/>
  <c r="H27" i="2" s="1"/>
  <c r="J22" i="2"/>
  <c r="J29" i="2" s="1"/>
  <c r="M21" i="2"/>
  <c r="M28" i="2" s="1"/>
  <c r="I23" i="2"/>
  <c r="I30" i="2" s="1"/>
  <c r="K24" i="2"/>
  <c r="K31" i="2" s="1"/>
  <c r="M25" i="2"/>
  <c r="M32" i="2" s="1"/>
  <c r="H22" i="2"/>
  <c r="H29" i="2" s="1"/>
  <c r="J20" i="2"/>
  <c r="J27" i="2" s="1"/>
  <c r="I20" i="2"/>
  <c r="I27" i="2" s="1"/>
  <c r="L21" i="2"/>
  <c r="L28" i="2" s="1"/>
  <c r="L22" i="2"/>
  <c r="L29" i="2" s="1"/>
  <c r="J24" i="2"/>
  <c r="J31" i="2" s="1"/>
  <c r="I22" i="2"/>
  <c r="I29" i="2" s="1"/>
  <c r="K23" i="2"/>
  <c r="K30" i="2" s="1"/>
  <c r="M24" i="2"/>
  <c r="M31" i="2" s="1"/>
  <c r="L20" i="2"/>
  <c r="L27" i="2" s="1"/>
  <c r="J21" i="2"/>
  <c r="J28" i="2" s="1"/>
  <c r="H21" i="2"/>
  <c r="H28" i="2" s="1"/>
  <c r="H23" i="2"/>
  <c r="H30" i="2" s="1"/>
  <c r="M20" i="2"/>
  <c r="M27" i="2" s="1"/>
  <c r="H24" i="2"/>
  <c r="H31" i="2" s="1"/>
  <c r="L25" i="2"/>
  <c r="L32" i="2" s="1"/>
  <c r="J23" i="2"/>
  <c r="J30" i="2" s="1"/>
  <c r="L24" i="2"/>
  <c r="L31" i="2" s="1"/>
  <c r="K22" i="2"/>
  <c r="K29" i="2" s="1"/>
  <c r="M23" i="2"/>
  <c r="M30" i="2" s="1"/>
  <c r="I25" i="2"/>
  <c r="I32" i="2" s="1"/>
  <c r="I15" i="2"/>
  <c r="I21" i="2"/>
  <c r="I28" i="2" s="1"/>
  <c r="N11" i="1"/>
  <c r="O11" i="1"/>
  <c r="M10" i="1"/>
  <c r="O10" i="1"/>
  <c r="M11" i="1"/>
  <c r="N10" i="1"/>
  <c r="G6" i="7"/>
  <c r="AF34" i="1"/>
  <c r="Z6" i="1" s="1"/>
  <c r="L15" i="4"/>
  <c r="L12" i="4"/>
  <c r="L14" i="4" s="1"/>
  <c r="J6" i="1"/>
  <c r="K7" i="1"/>
  <c r="R19" i="4"/>
  <c r="R13" i="4" s="1"/>
  <c r="R15" i="4" s="1"/>
  <c r="R16" i="4"/>
  <c r="Z7" i="1"/>
  <c r="Z9" i="1" s="1"/>
  <c r="AB9" i="1" s="1"/>
  <c r="Z28" i="1" s="1"/>
  <c r="J8" i="1"/>
  <c r="I13" i="2" l="1"/>
  <c r="I18" i="2" s="1"/>
  <c r="G8" i="7"/>
  <c r="G13" i="7"/>
  <c r="G14" i="7" s="1"/>
  <c r="G15" i="7" s="1"/>
  <c r="G11" i="7"/>
  <c r="AA20" i="1"/>
  <c r="Z20" i="1"/>
  <c r="Z19" i="1"/>
  <c r="L6" i="1"/>
  <c r="O6" i="1"/>
  <c r="J7" i="1"/>
  <c r="L7" i="1" s="1"/>
  <c r="J26" i="1" s="1"/>
  <c r="AE6" i="1"/>
  <c r="AB6" i="1"/>
  <c r="AC6" i="1" s="1"/>
  <c r="AD6" i="1" s="1"/>
  <c r="I17" i="2" l="1"/>
  <c r="I16" i="2"/>
  <c r="J17" i="1"/>
  <c r="K18" i="1"/>
  <c r="J18" i="1"/>
  <c r="M6" i="1"/>
  <c r="N6" i="1" s="1"/>
  <c r="G12" i="7"/>
  <c r="G19" i="7" s="1"/>
</calcChain>
</file>

<file path=xl/sharedStrings.xml><?xml version="1.0" encoding="utf-8"?>
<sst xmlns="http://schemas.openxmlformats.org/spreadsheetml/2006/main" count="431" uniqueCount="228">
  <si>
    <r>
      <t>df</t>
    </r>
    <r>
      <rPr>
        <sz val="10"/>
        <rFont val="Arial"/>
      </rPr>
      <t xml:space="preserve"> denominator</t>
    </r>
  </si>
  <si>
    <r>
      <t>df</t>
    </r>
    <r>
      <rPr>
        <sz val="10"/>
        <rFont val="Arial"/>
      </rPr>
      <t xml:space="preserve"> numerator</t>
    </r>
  </si>
  <si>
    <t>df</t>
  </si>
  <si>
    <t>2-tailed (nondirectional) test</t>
  </si>
  <si>
    <t>1-tailed (directional) test</t>
  </si>
  <si>
    <r>
      <t xml:space="preserve">Critical values for </t>
    </r>
    <r>
      <rPr>
        <b/>
        <i/>
        <sz val="10"/>
        <rFont val="Arial"/>
        <family val="2"/>
      </rPr>
      <t>t</t>
    </r>
  </si>
  <si>
    <r>
      <t>df</t>
    </r>
    <r>
      <rPr>
        <sz val="10"/>
        <rFont val="Arial"/>
      </rPr>
      <t xml:space="preserve"> error</t>
    </r>
  </si>
  <si>
    <t>N</t>
  </si>
  <si>
    <t>Category</t>
  </si>
  <si>
    <t>Data</t>
  </si>
  <si>
    <t>M</t>
  </si>
  <si>
    <t>SD</t>
  </si>
  <si>
    <t>p</t>
  </si>
  <si>
    <t>Test Results</t>
  </si>
  <si>
    <r>
      <t xml:space="preserve">One Sample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Test Calculator</t>
    </r>
  </si>
  <si>
    <r>
      <t xml:space="preserve">Independent Groups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Test Calculator</t>
    </r>
  </si>
  <si>
    <t>Group 1</t>
  </si>
  <si>
    <t>Group 2</t>
  </si>
  <si>
    <r>
      <t xml:space="preserve">Related Samples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Test Calculator</t>
    </r>
  </si>
  <si>
    <t>D</t>
  </si>
  <si>
    <t>Score 1</t>
  </si>
  <si>
    <t>Score 2</t>
  </si>
  <si>
    <r>
      <rPr>
        <b/>
        <i/>
        <sz val="10"/>
        <rFont val="Arial"/>
        <family val="2"/>
      </rPr>
      <t>z</t>
    </r>
    <r>
      <rPr>
        <b/>
        <sz val="10"/>
        <rFont val="Arial"/>
        <family val="2"/>
      </rPr>
      <t xml:space="preserve"> Test Calculator</t>
    </r>
  </si>
  <si>
    <r>
      <t xml:space="preserve">Area in one tail for </t>
    </r>
    <r>
      <rPr>
        <b/>
        <i/>
        <sz val="10"/>
        <rFont val="Arial"/>
        <family val="2"/>
      </rPr>
      <t>z</t>
    </r>
  </si>
  <si>
    <r>
      <t xml:space="preserve">Calculators for Cohen's </t>
    </r>
    <r>
      <rPr>
        <b/>
        <i/>
        <sz val="10"/>
        <rFont val="Arial"/>
        <family val="2"/>
      </rPr>
      <t>d</t>
    </r>
  </si>
  <si>
    <t>small</t>
  </si>
  <si>
    <t>medium</t>
  </si>
  <si>
    <t>large</t>
  </si>
  <si>
    <t>Rules of Thumb</t>
  </si>
  <si>
    <r>
      <t>z</t>
    </r>
    <r>
      <rPr>
        <b/>
        <sz val="10"/>
        <rFont val="Arial"/>
        <family val="2"/>
      </rPr>
      <t xml:space="preserve"> Table Calculators</t>
    </r>
  </si>
  <si>
    <r>
      <t xml:space="preserve">Critical + </t>
    </r>
    <r>
      <rPr>
        <b/>
        <i/>
        <sz val="10"/>
        <rFont val="Arial"/>
        <family val="2"/>
      </rPr>
      <t>p</t>
    </r>
    <r>
      <rPr>
        <b/>
        <sz val="10"/>
        <rFont val="Arial"/>
        <family val="2"/>
      </rPr>
      <t xml:space="preserve"> Value Calculators</t>
    </r>
  </si>
  <si>
    <r>
      <rPr>
        <b/>
        <sz val="10"/>
        <rFont val="Calibri"/>
        <family val="2"/>
      </rPr>
      <t>α</t>
    </r>
    <r>
      <rPr>
        <b/>
        <sz val="10"/>
        <rFont val="Arial"/>
        <family val="2"/>
      </rPr>
      <t xml:space="preserve"> = .05</t>
    </r>
  </si>
  <si>
    <r>
      <rPr>
        <b/>
        <sz val="10"/>
        <rFont val="Calibri"/>
        <family val="2"/>
      </rPr>
      <t>α</t>
    </r>
    <r>
      <rPr>
        <b/>
        <sz val="10"/>
        <rFont val="Arial"/>
        <family val="2"/>
      </rPr>
      <t xml:space="preserve"> = .01</t>
    </r>
  </si>
  <si>
    <t>α = .05</t>
  </si>
  <si>
    <t>α = .01</t>
  </si>
  <si>
    <t>α = .001</t>
  </si>
  <si>
    <t>One Sample</t>
  </si>
  <si>
    <t>Two Independent Groups</t>
  </si>
  <si>
    <t>Two Related Samples</t>
  </si>
  <si>
    <r>
      <t xml:space="preserve">Critical Values for </t>
    </r>
    <r>
      <rPr>
        <b/>
        <i/>
        <sz val="10"/>
        <rFont val="Arial"/>
        <family val="2"/>
      </rPr>
      <t>F</t>
    </r>
    <r>
      <rPr>
        <b/>
        <sz val="10"/>
        <rFont val="Arial"/>
        <family val="2"/>
      </rPr>
      <t xml:space="preserve"> with α = .05</t>
    </r>
  </si>
  <si>
    <r>
      <t xml:space="preserve">Critical Values for </t>
    </r>
    <r>
      <rPr>
        <b/>
        <i/>
        <sz val="10"/>
        <rFont val="Arial"/>
        <family val="2"/>
      </rPr>
      <t>F</t>
    </r>
    <r>
      <rPr>
        <b/>
        <sz val="10"/>
        <rFont val="Arial"/>
        <family val="2"/>
      </rPr>
      <t xml:space="preserve"> with α = .01</t>
    </r>
  </si>
  <si>
    <r>
      <t># of Means (</t>
    </r>
    <r>
      <rPr>
        <i/>
        <sz val="10"/>
        <rFont val="Arial"/>
        <family val="2"/>
      </rPr>
      <t>k</t>
    </r>
    <r>
      <rPr>
        <sz val="10"/>
        <rFont val="Arial"/>
      </rPr>
      <t>)</t>
    </r>
  </si>
  <si>
    <t>Tukey's HSD Calculator</t>
  </si>
  <si>
    <t>Harmonic Mean Calculator</t>
  </si>
  <si>
    <r>
      <t xml:space="preserve">Critical Values of </t>
    </r>
    <r>
      <rPr>
        <b/>
        <i/>
        <sz val="10"/>
        <rFont val="Arial"/>
        <family val="2"/>
      </rPr>
      <t>q</t>
    </r>
    <r>
      <rPr>
        <b/>
        <sz val="10"/>
        <rFont val="Arial"/>
        <family val="2"/>
      </rPr>
      <t xml:space="preserve"> for Tukey's </t>
    </r>
    <r>
      <rPr>
        <b/>
        <i/>
        <sz val="10"/>
        <rFont val="Arial"/>
        <family val="2"/>
      </rPr>
      <t>HSD</t>
    </r>
    <r>
      <rPr>
        <b/>
        <sz val="10"/>
        <rFont val="Arial"/>
        <family val="2"/>
      </rPr>
      <t xml:space="preserve"> Test with </t>
    </r>
    <r>
      <rPr>
        <b/>
        <sz val="10"/>
        <rFont val="Calibri"/>
        <family val="2"/>
      </rPr>
      <t>α</t>
    </r>
    <r>
      <rPr>
        <b/>
        <sz val="10"/>
        <rFont val="Arial"/>
        <family val="2"/>
      </rPr>
      <t xml:space="preserve"> = .05</t>
    </r>
  </si>
  <si>
    <r>
      <t xml:space="preserve">Critical Values of </t>
    </r>
    <r>
      <rPr>
        <b/>
        <i/>
        <sz val="10"/>
        <rFont val="Arial"/>
        <family val="2"/>
      </rPr>
      <t>q</t>
    </r>
    <r>
      <rPr>
        <b/>
        <sz val="10"/>
        <rFont val="Arial"/>
        <family val="2"/>
      </rPr>
      <t xml:space="preserve"> for Tukey's </t>
    </r>
    <r>
      <rPr>
        <b/>
        <i/>
        <sz val="10"/>
        <rFont val="Arial"/>
        <family val="2"/>
      </rPr>
      <t>HSD</t>
    </r>
    <r>
      <rPr>
        <b/>
        <sz val="10"/>
        <rFont val="Arial"/>
        <family val="2"/>
      </rPr>
      <t xml:space="preserve"> Test with </t>
    </r>
    <r>
      <rPr>
        <b/>
        <sz val="10"/>
        <rFont val="Calibri"/>
        <family val="2"/>
      </rPr>
      <t>α</t>
    </r>
    <r>
      <rPr>
        <b/>
        <sz val="10"/>
        <rFont val="Arial"/>
        <family val="2"/>
      </rPr>
      <t xml:space="preserve"> = .01</t>
    </r>
  </si>
  <si>
    <t>X</t>
  </si>
  <si>
    <t>Y</t>
  </si>
  <si>
    <t>Product</t>
  </si>
  <si>
    <r>
      <t xml:space="preserve">Critical Values for </t>
    </r>
    <r>
      <rPr>
        <b/>
        <i/>
        <sz val="10"/>
        <rFont val="Arial"/>
        <family val="2"/>
      </rPr>
      <t>r</t>
    </r>
  </si>
  <si>
    <t>Calculators for Difference Between Two Correlation Coefficients</t>
  </si>
  <si>
    <t>Two Independent Correlations</t>
  </si>
  <si>
    <r>
      <t xml:space="preserve">Two Dependent Correlations, 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[12] vs. 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>[13]</t>
    </r>
  </si>
  <si>
    <r>
      <t xml:space="preserve">Two Dependent Correlations, 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[12] vs. 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>[34]</t>
    </r>
  </si>
  <si>
    <t>X1</t>
  </si>
  <si>
    <t>X2</t>
  </si>
  <si>
    <t>X3</t>
  </si>
  <si>
    <t>X4</t>
  </si>
  <si>
    <r>
      <t xml:space="preserve">Fisher's 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 to </t>
    </r>
    <r>
      <rPr>
        <b/>
        <i/>
        <sz val="10"/>
        <rFont val="Arial"/>
        <family val="2"/>
      </rPr>
      <t>z</t>
    </r>
    <r>
      <rPr>
        <b/>
        <sz val="10"/>
        <rFont val="Arial"/>
        <family val="2"/>
      </rPr>
      <t xml:space="preserve"> Transformation</t>
    </r>
  </si>
  <si>
    <r>
      <t>Critical Values for χ</t>
    </r>
    <r>
      <rPr>
        <b/>
        <vertAlign val="superscript"/>
        <sz val="10"/>
        <rFont val="Arial"/>
        <family val="2"/>
      </rPr>
      <t>2</t>
    </r>
  </si>
  <si>
    <r>
      <t>χ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Goodness of Fit Calculator</t>
    </r>
  </si>
  <si>
    <r>
      <t>χ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Test of Independence Calculator</t>
    </r>
  </si>
  <si>
    <r>
      <t>f</t>
    </r>
    <r>
      <rPr>
        <b/>
        <sz val="10"/>
        <rFont val="Arial"/>
        <family val="2"/>
      </rPr>
      <t>[o]</t>
    </r>
  </si>
  <si>
    <r>
      <t>f</t>
    </r>
    <r>
      <rPr>
        <b/>
        <sz val="10"/>
        <rFont val="Arial"/>
        <family val="2"/>
      </rPr>
      <t>[e]</t>
    </r>
  </si>
  <si>
    <r>
      <t xml:space="preserve">One Sample </t>
    </r>
    <r>
      <rPr>
        <b/>
        <i/>
        <sz val="10"/>
        <rFont val="Arial"/>
        <family val="2"/>
      </rPr>
      <t>z</t>
    </r>
    <r>
      <rPr>
        <b/>
        <sz val="10"/>
        <rFont val="Arial"/>
        <family val="2"/>
      </rPr>
      <t xml:space="preserve"> test Calculator</t>
    </r>
  </si>
  <si>
    <r>
      <t xml:space="preserve">One Sample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test Calculator</t>
    </r>
  </si>
  <si>
    <t>Correlation + Regression Calculator</t>
  </si>
  <si>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 Test Results</t>
    </r>
  </si>
  <si>
    <t>Regression</t>
  </si>
  <si>
    <t>Predictions</t>
  </si>
  <si>
    <r>
      <t xml:space="preserve">Adjusted 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>-Squared</t>
    </r>
  </si>
  <si>
    <t>Standard Error of Estimate</t>
  </si>
  <si>
    <r>
      <t xml:space="preserve">Correcting 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 for Range Restriction</t>
    </r>
  </si>
  <si>
    <r>
      <t xml:space="preserve">Correcting </t>
    </r>
    <r>
      <rPr>
        <b/>
        <i/>
        <sz val="10"/>
        <rFont val="Arial"/>
        <family val="2"/>
      </rPr>
      <t>r</t>
    </r>
    <r>
      <rPr>
        <b/>
        <sz val="10"/>
        <rFont val="Arial"/>
        <family val="2"/>
      </rPr>
      <t xml:space="preserve"> for Measurement Error</t>
    </r>
  </si>
  <si>
    <t>Scatterplot</t>
  </si>
  <si>
    <t>Independent Groups ANOVA Calculator</t>
  </si>
  <si>
    <t>Group 3</t>
  </si>
  <si>
    <t>Group 4</t>
  </si>
  <si>
    <t>Group 5</t>
  </si>
  <si>
    <t>Group 6</t>
  </si>
  <si>
    <t>Source</t>
  </si>
  <si>
    <t>SS</t>
  </si>
  <si>
    <t>MS</t>
  </si>
  <si>
    <t>F</t>
  </si>
  <si>
    <t>η-sq</t>
  </si>
  <si>
    <t>Total</t>
  </si>
  <si>
    <t xml:space="preserve">  Between</t>
  </si>
  <si>
    <t xml:space="preserve">  Within</t>
  </si>
  <si>
    <t xml:space="preserve">  Total</t>
  </si>
  <si>
    <t>ANOVA Summary Table</t>
  </si>
  <si>
    <t>HSD</t>
  </si>
  <si>
    <t>---</t>
  </si>
  <si>
    <r>
      <t xml:space="preserve">Squared Values (expand if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&gt; 100 in any group)</t>
    </r>
  </si>
  <si>
    <t>T</t>
  </si>
  <si>
    <t>sum(X^2)</t>
  </si>
  <si>
    <r>
      <rPr>
        <i/>
        <sz val="10"/>
        <rFont val="Arial"/>
        <family val="2"/>
      </rPr>
      <t>T</t>
    </r>
    <r>
      <rPr>
        <sz val="10"/>
        <rFont val="Arial"/>
      </rPr>
      <t>^2/</t>
    </r>
    <r>
      <rPr>
        <i/>
        <sz val="10"/>
        <rFont val="Arial"/>
        <family val="2"/>
      </rPr>
      <t>N</t>
    </r>
  </si>
  <si>
    <t>Related Samples ANOVA Calculator</t>
  </si>
  <si>
    <t>Score 6</t>
  </si>
  <si>
    <t>Score 3</t>
  </si>
  <si>
    <t>Score 4</t>
  </si>
  <si>
    <t>Score 5</t>
  </si>
  <si>
    <t>P</t>
  </si>
  <si>
    <r>
      <t>P</t>
    </r>
    <r>
      <rPr>
        <sz val="10"/>
        <rFont val="Arial"/>
      </rPr>
      <t>^2/</t>
    </r>
    <r>
      <rPr>
        <i/>
        <sz val="10"/>
        <rFont val="Arial"/>
        <family val="2"/>
      </rPr>
      <t>k</t>
    </r>
  </si>
  <si>
    <t xml:space="preserve">  Error</t>
  </si>
  <si>
    <t xml:space="preserve">  Subj</t>
  </si>
  <si>
    <t xml:space="preserve"> Between</t>
  </si>
  <si>
    <t xml:space="preserve"> Within</t>
  </si>
  <si>
    <r>
      <t xml:space="preserve">Squared Values (expand if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&gt; 100)</t>
    </r>
  </si>
  <si>
    <t>Enter value from table in HSD worksheet</t>
  </si>
  <si>
    <r>
      <t>z</t>
    </r>
    <r>
      <rPr>
        <b/>
        <sz val="10"/>
        <rFont val="Arial"/>
        <family val="2"/>
      </rPr>
      <t xml:space="preserve"> Score Calculators</t>
    </r>
  </si>
  <si>
    <t>Φ only calculated for 2 x 2 tables</t>
  </si>
  <si>
    <t>Descriptive Statistics</t>
  </si>
  <si>
    <t>Statistics</t>
  </si>
  <si>
    <r>
      <t>z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</si>
  <si>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z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</si>
  <si>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X</t>
    </r>
    <r>
      <rPr>
        <sz val="10"/>
        <rFont val="Arial"/>
      </rPr>
      <t xml:space="preserve"> = </t>
    </r>
  </si>
  <si>
    <t xml:space="preserve">μ = </t>
  </si>
  <si>
    <t xml:space="preserve">σ = </t>
  </si>
  <si>
    <t xml:space="preserve">tails = </t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</si>
  <si>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</si>
  <si>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M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</si>
  <si>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</si>
  <si>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p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</si>
  <si>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d</t>
    </r>
    <r>
      <rPr>
        <sz val="10"/>
        <rFont val="Arial"/>
      </rPr>
      <t xml:space="preserve"> = </t>
    </r>
  </si>
  <si>
    <r>
      <rPr>
        <sz val="10"/>
        <rFont val="Calibri"/>
        <family val="2"/>
      </rPr>
      <t>μ</t>
    </r>
    <r>
      <rPr>
        <sz val="10"/>
        <rFont val="Arial"/>
      </rPr>
      <t xml:space="preserve"> = </t>
    </r>
  </si>
  <si>
    <r>
      <rPr>
        <sz val="10"/>
        <rFont val="Calibri"/>
        <family val="2"/>
      </rPr>
      <t>σ</t>
    </r>
    <r>
      <rPr>
        <sz val="10"/>
        <rFont val="Arial"/>
      </rPr>
      <t xml:space="preserve"> = </t>
    </r>
  </si>
  <si>
    <r>
      <t>X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</si>
  <si>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p</t>
    </r>
    <r>
      <rPr>
        <sz val="10"/>
        <rFont val="Arial"/>
      </rPr>
      <t xml:space="preserve"> below = </t>
    </r>
  </si>
  <si>
    <r>
      <t>p</t>
    </r>
    <r>
      <rPr>
        <sz val="10"/>
        <rFont val="Arial"/>
      </rPr>
      <t xml:space="preserve"> above = </t>
    </r>
  </si>
  <si>
    <r>
      <t>p</t>
    </r>
    <r>
      <rPr>
        <sz val="10"/>
        <rFont val="Arial"/>
      </rPr>
      <t xml:space="preserve"> below = </t>
    </r>
  </si>
  <si>
    <t xml:space="preserve">α = </t>
  </si>
  <si>
    <r>
      <t>N</t>
    </r>
    <r>
      <rPr>
        <sz val="10"/>
        <rFont val="Arial"/>
      </rPr>
      <t xml:space="preserve"> = </t>
    </r>
  </si>
  <si>
    <r>
      <t>Mdn</t>
    </r>
    <r>
      <rPr>
        <sz val="10"/>
        <rFont val="Arial"/>
      </rPr>
      <t xml:space="preserve"> = </t>
    </r>
  </si>
  <si>
    <r>
      <t>IQR</t>
    </r>
    <r>
      <rPr>
        <sz val="10"/>
        <rFont val="Arial"/>
      </rPr>
      <t xml:space="preserve"> = </t>
    </r>
  </si>
  <si>
    <t xml:space="preserve">Min = </t>
  </si>
  <si>
    <t xml:space="preserve">10% = </t>
  </si>
  <si>
    <t xml:space="preserve">25% (Q1) = </t>
  </si>
  <si>
    <t xml:space="preserve">50% (Q2) = </t>
  </si>
  <si>
    <t xml:space="preserve">75% (Q3) = </t>
  </si>
  <si>
    <t xml:space="preserve">90% = </t>
  </si>
  <si>
    <t xml:space="preserve">Max = </t>
  </si>
  <si>
    <t xml:space="preserve">Skew = </t>
  </si>
  <si>
    <t xml:space="preserve">Kurtosis = </t>
  </si>
  <si>
    <r>
      <t>M</t>
    </r>
    <r>
      <rPr>
        <sz val="10"/>
        <rFont val="Arial"/>
      </rPr>
      <t xml:space="preserve"> = </t>
    </r>
  </si>
  <si>
    <r>
      <t>SD</t>
    </r>
    <r>
      <rPr>
        <sz val="10"/>
        <rFont val="Arial"/>
      </rPr>
      <t xml:space="preserve"> = </t>
    </r>
  </si>
  <si>
    <r>
      <t>t</t>
    </r>
    <r>
      <rPr>
        <sz val="10"/>
        <rFont val="Arial"/>
      </rPr>
      <t xml:space="preserve"> = </t>
    </r>
  </si>
  <si>
    <r>
      <t>df</t>
    </r>
    <r>
      <rPr>
        <sz val="10"/>
        <rFont val="Arial"/>
      </rPr>
      <t xml:space="preserve"> = </t>
    </r>
  </si>
  <si>
    <r>
      <t>p</t>
    </r>
    <r>
      <rPr>
        <sz val="10"/>
        <rFont val="Arial"/>
      </rPr>
      <t xml:space="preserve"> = </t>
    </r>
  </si>
  <si>
    <r>
      <t>d</t>
    </r>
    <r>
      <rPr>
        <sz val="10"/>
        <rFont val="Arial"/>
      </rPr>
      <t xml:space="preserve"> = </t>
    </r>
  </si>
  <si>
    <t xml:space="preserve">μ[1]-μ[2] = </t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</si>
  <si>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[1] = </t>
    </r>
  </si>
  <si>
    <r>
      <rPr>
        <i/>
        <sz val="10"/>
        <rFont val="Arial"/>
        <family val="2"/>
      </rPr>
      <t>M</t>
    </r>
    <r>
      <rPr>
        <sz val="10"/>
        <rFont val="Arial"/>
      </rPr>
      <t xml:space="preserve">[1]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</si>
  <si>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[1] = </t>
    </r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</si>
  <si>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[2] = </t>
    </r>
  </si>
  <si>
    <r>
      <rPr>
        <i/>
        <sz val="10"/>
        <rFont val="Arial"/>
        <family val="2"/>
      </rPr>
      <t>M</t>
    </r>
    <r>
      <rPr>
        <sz val="10"/>
        <rFont val="Arial"/>
      </rPr>
      <t xml:space="preserve">[2]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</si>
  <si>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[2] = </t>
    </r>
  </si>
  <si>
    <r>
      <rPr>
        <i/>
        <sz val="10"/>
        <rFont val="Arial"/>
        <family val="2"/>
      </rPr>
      <t>t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</si>
  <si>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df</t>
    </r>
    <r>
      <rPr>
        <sz val="10"/>
        <rFont val="Arial"/>
      </rPr>
      <t xml:space="preserve"> = </t>
    </r>
  </si>
  <si>
    <t xml:space="preserve">μ[D] = </t>
  </si>
  <si>
    <r>
      <rPr>
        <i/>
        <sz val="10"/>
        <rFont val="Arial"/>
        <family val="2"/>
      </rPr>
      <t>M</t>
    </r>
    <r>
      <rPr>
        <sz val="10"/>
        <rFont val="Arial"/>
      </rPr>
      <t xml:space="preserve">[D]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</si>
  <si>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[D]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</si>
  <si>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 or </t>
    </r>
    <r>
      <rPr>
        <sz val="10"/>
        <rFont val="Calibri"/>
        <family val="2"/>
      </rPr>
      <t>σ</t>
    </r>
    <r>
      <rPr>
        <sz val="10"/>
        <rFont val="Arial"/>
      </rPr>
      <t xml:space="preserve"> = </t>
    </r>
  </si>
  <si>
    <r>
      <rPr>
        <sz val="10"/>
        <rFont val="Calibri"/>
        <family val="2"/>
      </rPr>
      <t>α</t>
    </r>
    <r>
      <rPr>
        <sz val="10"/>
        <rFont val="Arial"/>
      </rPr>
      <t xml:space="preserve"> = </t>
    </r>
  </si>
  <si>
    <t xml:space="preserve">Power = </t>
  </si>
  <si>
    <r>
      <rPr>
        <sz val="10"/>
        <rFont val="Calibri"/>
        <family val="2"/>
      </rPr>
      <t>σ[</t>
    </r>
    <r>
      <rPr>
        <sz val="10"/>
        <rFont val="Arial"/>
      </rPr>
      <t xml:space="preserve">M] = </t>
    </r>
  </si>
  <si>
    <r>
      <rPr>
        <i/>
        <sz val="10"/>
        <rFont val="Arial"/>
        <family val="2"/>
      </rPr>
      <t>z</t>
    </r>
    <r>
      <rPr>
        <sz val="10"/>
        <rFont val="Arial"/>
      </rPr>
      <t xml:space="preserve">[crit] = </t>
    </r>
  </si>
  <si>
    <r>
      <rPr>
        <i/>
        <sz val="10"/>
        <rFont val="Arial"/>
        <family val="2"/>
      </rPr>
      <t>t</t>
    </r>
    <r>
      <rPr>
        <sz val="10"/>
        <rFont val="Arial"/>
      </rPr>
      <t xml:space="preserve">[crit] = </t>
    </r>
  </si>
  <si>
    <r>
      <rPr>
        <i/>
        <sz val="10"/>
        <rFont val="Arial"/>
        <family val="2"/>
      </rPr>
      <t>q</t>
    </r>
    <r>
      <rPr>
        <sz val="10"/>
        <rFont val="Arial"/>
      </rPr>
      <t xml:space="preserve"> = </t>
    </r>
  </si>
  <si>
    <r>
      <t>k</t>
    </r>
    <r>
      <rPr>
        <sz val="10"/>
        <rFont val="Arial"/>
      </rPr>
      <t xml:space="preserve"> = </t>
    </r>
  </si>
  <si>
    <r>
      <t>N</t>
    </r>
    <r>
      <rPr>
        <sz val="10"/>
        <rFont val="Arial"/>
      </rPr>
      <t xml:space="preserve">[harm] = </t>
    </r>
  </si>
  <si>
    <r>
      <t>HSD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</si>
  <si>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df</t>
    </r>
    <r>
      <rPr>
        <sz val="10"/>
        <rFont val="Arial"/>
      </rPr>
      <t xml:space="preserve">[num] = </t>
    </r>
  </si>
  <si>
    <r>
      <rPr>
        <i/>
        <sz val="10"/>
        <rFont val="Arial"/>
        <family val="2"/>
      </rPr>
      <t>df</t>
    </r>
    <r>
      <rPr>
        <sz val="10"/>
        <rFont val="Arial"/>
      </rPr>
      <t xml:space="preserve">[den] = </t>
    </r>
  </si>
  <si>
    <r>
      <rPr>
        <i/>
        <sz val="10"/>
        <rFont val="Arial"/>
        <family val="2"/>
      </rPr>
      <t>F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</si>
  <si>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MS</t>
    </r>
    <r>
      <rPr>
        <sz val="10"/>
        <rFont val="Arial"/>
      </rPr>
      <t xml:space="preserve">(error) = </t>
    </r>
  </si>
  <si>
    <r>
      <rPr>
        <i/>
        <sz val="10"/>
        <rFont val="Arial"/>
        <family val="2"/>
      </rPr>
      <t>HSD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</si>
  <si>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[3] = </t>
    </r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</si>
  <si>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[4] = </t>
    </r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</si>
  <si>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[5] = </t>
    </r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</si>
  <si>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[6] = </t>
    </r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</si>
  <si>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[7] = </t>
    </r>
  </si>
  <si>
    <r>
      <rPr>
        <i/>
        <sz val="10"/>
        <rFont val="Arial"/>
        <family val="2"/>
      </rPr>
      <t>n</t>
    </r>
    <r>
      <rPr>
        <sz val="10"/>
        <rFont val="Arial"/>
      </rPr>
      <t xml:space="preserve">[8] = </t>
    </r>
  </si>
  <si>
    <t xml:space="preserve">Harmonic Mean = </t>
  </si>
  <si>
    <r>
      <t>r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</si>
  <si>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b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</si>
  <si>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a</t>
    </r>
    <r>
      <rPr>
        <sz val="10"/>
        <rFont val="Arial"/>
      </rPr>
      <t xml:space="preserve"> = </t>
    </r>
  </si>
  <si>
    <r>
      <t>r</t>
    </r>
    <r>
      <rPr>
        <sz val="10"/>
        <rFont val="Arial"/>
      </rPr>
      <t xml:space="preserve">-sq = </t>
    </r>
  </si>
  <si>
    <r>
      <rPr>
        <sz val="10"/>
        <rFont val="Arial"/>
      </rPr>
      <t xml:space="preserve">adj </t>
    </r>
    <r>
      <rPr>
        <i/>
        <sz val="10"/>
        <rFont val="Arial"/>
        <family val="2"/>
      </rPr>
      <t>r</t>
    </r>
    <r>
      <rPr>
        <sz val="10"/>
        <rFont val="Arial"/>
      </rPr>
      <t xml:space="preserve">-sq = </t>
    </r>
  </si>
  <si>
    <r>
      <t>SE</t>
    </r>
    <r>
      <rPr>
        <sz val="10"/>
        <rFont val="Arial"/>
      </rPr>
      <t xml:space="preserve">[est] = </t>
    </r>
  </si>
  <si>
    <r>
      <rPr>
        <i/>
        <sz val="10"/>
        <rFont val="Arial"/>
        <family val="2"/>
      </rPr>
      <t>Y</t>
    </r>
    <r>
      <rPr>
        <sz val="10"/>
        <rFont val="Arial"/>
      </rPr>
      <t xml:space="preserve">' = </t>
    </r>
  </si>
  <si>
    <t xml:space="preserve">SP = </t>
  </si>
  <si>
    <r>
      <rPr>
        <i/>
        <sz val="10"/>
        <rFont val="Arial"/>
        <family val="2"/>
      </rPr>
      <t>M</t>
    </r>
    <r>
      <rPr>
        <sz val="10"/>
        <rFont val="Arial"/>
      </rPr>
      <t xml:space="preserve">[X] = </t>
    </r>
  </si>
  <si>
    <r>
      <rPr>
        <i/>
        <sz val="10"/>
        <rFont val="Arial"/>
        <family val="2"/>
      </rPr>
      <t>M</t>
    </r>
    <r>
      <rPr>
        <sz val="10"/>
        <rFont val="Arial"/>
      </rPr>
      <t xml:space="preserve">[Y]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</si>
  <si>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[X]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</si>
  <si>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[Y]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</si>
  <si>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</si>
  <si>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[restricted] = </t>
    </r>
  </si>
  <si>
    <r>
      <rPr>
        <i/>
        <sz val="10"/>
        <rFont val="Arial"/>
        <family val="2"/>
      </rPr>
      <t>SD</t>
    </r>
    <r>
      <rPr>
        <sz val="10"/>
        <rFont val="Arial"/>
      </rPr>
      <t xml:space="preserve">[unrestricted] = </t>
    </r>
  </si>
  <si>
    <r>
      <rPr>
        <i/>
        <sz val="10"/>
        <rFont val="Arial"/>
        <family val="2"/>
      </rPr>
      <t>u</t>
    </r>
    <r>
      <rPr>
        <sz val="10"/>
        <rFont val="Arial"/>
      </rPr>
      <t xml:space="preserve">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</si>
  <si>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'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</si>
  <si>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[xx]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</si>
  <si>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[yy] = </t>
    </r>
  </si>
  <si>
    <r>
      <t>R</t>
    </r>
    <r>
      <rPr>
        <sz val="10"/>
        <rFont val="Arial"/>
      </rPr>
      <t xml:space="preserve"> = </t>
    </r>
  </si>
  <si>
    <r>
      <t>SD</t>
    </r>
    <r>
      <rPr>
        <sz val="10"/>
        <rFont val="Arial"/>
      </rPr>
      <t xml:space="preserve">[Y] = </t>
    </r>
  </si>
  <si>
    <r>
      <t>R</t>
    </r>
    <r>
      <rPr>
        <sz val="10"/>
        <rFont val="Arial"/>
      </rPr>
      <t xml:space="preserve">-sq = </t>
    </r>
  </si>
  <si>
    <r>
      <rPr>
        <sz val="10"/>
        <rFont val="Arial"/>
      </rPr>
      <t xml:space="preserve">Adjusted </t>
    </r>
    <r>
      <rPr>
        <i/>
        <sz val="10"/>
        <rFont val="Arial"/>
        <family val="2"/>
      </rPr>
      <t>R</t>
    </r>
    <r>
      <rPr>
        <sz val="10"/>
        <rFont val="Arial"/>
      </rPr>
      <t>-sq</t>
    </r>
    <r>
      <rPr>
        <i/>
        <sz val="10"/>
        <rFont val="Arial"/>
        <family val="2"/>
      </rPr>
      <t xml:space="preserve">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</si>
  <si>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[1]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</si>
  <si>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[2] = </t>
    </r>
  </si>
  <si>
    <r>
      <t>N</t>
    </r>
    <r>
      <rPr>
        <sz val="10"/>
        <rFont val="Arial"/>
      </rPr>
      <t xml:space="preserve">[1] = </t>
    </r>
  </si>
  <si>
    <r>
      <t>N</t>
    </r>
    <r>
      <rPr>
        <sz val="10"/>
        <rFont val="Arial"/>
      </rPr>
      <t xml:space="preserve">[2]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</si>
  <si>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[12]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</si>
  <si>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[13] = </t>
    </r>
  </si>
  <si>
    <r>
      <rPr>
        <i/>
        <sz val="10"/>
        <rFont val="Arial"/>
        <family val="2"/>
      </rPr>
      <t>r</t>
    </r>
    <r>
      <rPr>
        <sz val="10"/>
        <rFont val="Arial"/>
      </rPr>
      <t xml:space="preserve">[23] = </t>
    </r>
  </si>
  <si>
    <t xml:space="preserve">N = </t>
  </si>
  <si>
    <t xml:space="preserve">r-bar [12,34] = </t>
  </si>
  <si>
    <t xml:space="preserve">psi[12,34] (eq. 2) = </t>
  </si>
  <si>
    <t xml:space="preserve">c[12,34] (eq. 11) = </t>
  </si>
  <si>
    <t xml:space="preserve">z[12] = </t>
  </si>
  <si>
    <t xml:space="preserve">z[34] = </t>
  </si>
  <si>
    <t xml:space="preserve">2s-bar [12,34] = </t>
  </si>
  <si>
    <t xml:space="preserve">z-bar[2]* (eq. 15) = </t>
  </si>
  <si>
    <r>
      <t>χ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= </t>
    </r>
  </si>
  <si>
    <t xml:space="preserve">Φ = </t>
  </si>
  <si>
    <t>∞</t>
  </si>
  <si>
    <t xml:space="preserve">SD[M] = </t>
  </si>
  <si>
    <t xml:space="preserve">SD[p] = </t>
  </si>
  <si>
    <r>
      <t>SD[</t>
    </r>
    <r>
      <rPr>
        <i/>
        <sz val="10"/>
        <rFont val="Arial"/>
        <family val="2"/>
      </rPr>
      <t>M</t>
    </r>
    <r>
      <rPr>
        <sz val="10"/>
        <rFont val="Arial"/>
      </rPr>
      <t>[1]-</t>
    </r>
    <r>
      <rPr>
        <i/>
        <sz val="10"/>
        <rFont val="Arial"/>
        <family val="2"/>
      </rPr>
      <t>M</t>
    </r>
    <r>
      <rPr>
        <sz val="10"/>
        <rFont val="Arial"/>
      </rPr>
      <t xml:space="preserve">[2]] = </t>
    </r>
  </si>
  <si>
    <t xml:space="preserve">V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</si>
</sst>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.00"/>
    <numFmt numFmtId="166" formatCode=".0000"/>
    <numFmt numFmtId="167" formatCode=".00000"/>
    <numFmt numFmtId="168" formatCode=".000"/>
    <numFmt numFmtId="169" formatCode="0.0000"/>
  </numFmts>
  <fonts count="15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b/>
      <u/>
      <sz val="10"/>
      <name val="Arial"/>
      <family val="2"/>
    </font>
    <font>
      <b/>
      <sz val="10"/>
      <name val="Calibri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22" xfId="0" applyFont="1" applyBorder="1" applyAlignment="1">
      <alignment horizontal="right" vertical="center"/>
    </xf>
    <xf numFmtId="2" fontId="3" fillId="0" borderId="24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left" vertical="center"/>
    </xf>
    <xf numFmtId="168" fontId="3" fillId="0" borderId="17" xfId="0" applyNumberFormat="1" applyFont="1" applyBorder="1" applyAlignment="1">
      <alignment horizontal="left" vertical="center"/>
    </xf>
    <xf numFmtId="0" fontId="0" fillId="0" borderId="18" xfId="0" applyFont="1" applyBorder="1" applyAlignment="1">
      <alignment horizontal="right" vertical="center"/>
    </xf>
    <xf numFmtId="2" fontId="3" fillId="0" borderId="19" xfId="0" applyNumberFormat="1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horizontal="right" vertical="center"/>
    </xf>
    <xf numFmtId="168" fontId="2" fillId="0" borderId="15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right" vertical="center"/>
    </xf>
    <xf numFmtId="168" fontId="2" fillId="0" borderId="19" xfId="0" applyNumberFormat="1" applyFont="1" applyBorder="1" applyAlignment="1">
      <alignment horizontal="left" vertical="center"/>
    </xf>
    <xf numFmtId="168" fontId="2" fillId="0" borderId="11" xfId="0" applyNumberFormat="1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left" vertical="center"/>
    </xf>
    <xf numFmtId="168" fontId="2" fillId="0" borderId="21" xfId="0" applyNumberFormat="1" applyFont="1" applyBorder="1" applyAlignment="1">
      <alignment horizontal="left" vertical="center"/>
    </xf>
    <xf numFmtId="0" fontId="0" fillId="0" borderId="22" xfId="0" applyFont="1" applyBorder="1" applyAlignment="1">
      <alignment horizontal="right" vertical="center"/>
    </xf>
    <xf numFmtId="168" fontId="3" fillId="0" borderId="24" xfId="0" applyNumberFormat="1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left" vertical="center"/>
    </xf>
    <xf numFmtId="167" fontId="2" fillId="0" borderId="7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quotePrefix="1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2" fontId="0" fillId="0" borderId="16" xfId="0" applyNumberFormat="1" applyFont="1" applyBorder="1" applyAlignment="1">
      <alignment horizontal="right" vertical="center"/>
    </xf>
    <xf numFmtId="2" fontId="0" fillId="0" borderId="16" xfId="0" quotePrefix="1" applyNumberFormat="1" applyFont="1" applyBorder="1" applyAlignment="1">
      <alignment horizontal="right" vertical="center"/>
    </xf>
    <xf numFmtId="168" fontId="0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/>
    </xf>
    <xf numFmtId="0" fontId="0" fillId="0" borderId="21" xfId="0" applyNumberForma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168" fontId="0" fillId="0" borderId="21" xfId="0" applyNumberFormat="1" applyBorder="1" applyAlignment="1">
      <alignment horizontal="left" vertical="center"/>
    </xf>
    <xf numFmtId="1" fontId="0" fillId="0" borderId="21" xfId="0" applyNumberFormat="1" applyBorder="1" applyAlignment="1">
      <alignment horizontal="left" vertical="center"/>
    </xf>
    <xf numFmtId="1" fontId="0" fillId="0" borderId="13" xfId="0" applyNumberFormat="1" applyBorder="1" applyAlignment="1">
      <alignment horizontal="left" vertical="center"/>
    </xf>
    <xf numFmtId="168" fontId="3" fillId="0" borderId="19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2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16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quotePrefix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vertical="center"/>
    </xf>
    <xf numFmtId="2" fontId="0" fillId="0" borderId="0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Font="1" applyBorder="1" applyAlignment="1">
      <alignment horizontal="right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9" fontId="3" fillId="0" borderId="24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0" fillId="0" borderId="27" xfId="0" applyBorder="1" applyAlignment="1">
      <alignment horizontal="left" vertical="center"/>
    </xf>
    <xf numFmtId="168" fontId="0" fillId="0" borderId="1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8" fontId="2" fillId="0" borderId="11" xfId="1" applyNumberFormat="1" applyBorder="1" applyAlignment="1">
      <alignment horizontal="left" vertical="center"/>
    </xf>
    <xf numFmtId="168" fontId="2" fillId="0" borderId="0" xfId="1" applyNumberFormat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2" fillId="0" borderId="21" xfId="1" applyNumberFormat="1" applyBorder="1" applyAlignment="1">
      <alignment horizontal="left" vertical="center"/>
    </xf>
    <xf numFmtId="0" fontId="0" fillId="0" borderId="0" xfId="0" applyAlignment="1">
      <alignment horizontal="right" vertical="center"/>
    </xf>
    <xf numFmtId="168" fontId="0" fillId="0" borderId="0" xfId="0" applyNumberFormat="1" applyAlignment="1">
      <alignment vertical="center"/>
    </xf>
    <xf numFmtId="165" fontId="0" fillId="0" borderId="17" xfId="0" applyNumberFormat="1" applyBorder="1" applyAlignment="1">
      <alignment horizontal="left" vertical="center"/>
    </xf>
    <xf numFmtId="168" fontId="0" fillId="0" borderId="4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0" fontId="1" fillId="0" borderId="20" xfId="1" applyFont="1" applyBorder="1" applyAlignment="1">
      <alignment horizontal="right" vertical="center"/>
    </xf>
    <xf numFmtId="0" fontId="2" fillId="0" borderId="21" xfId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2" fontId="3" fillId="0" borderId="15" xfId="1" applyNumberFormat="1" applyFont="1" applyBorder="1" applyAlignment="1">
      <alignment horizontal="left" vertical="center"/>
    </xf>
    <xf numFmtId="168" fontId="3" fillId="0" borderId="19" xfId="1" applyNumberFormat="1" applyFont="1" applyBorder="1" applyAlignment="1">
      <alignment horizontal="left" vertical="center"/>
    </xf>
    <xf numFmtId="2" fontId="0" fillId="0" borderId="17" xfId="0" applyNumberForma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166" fontId="2" fillId="0" borderId="0" xfId="1" applyNumberFormat="1" applyAlignment="1">
      <alignment vertical="center"/>
    </xf>
    <xf numFmtId="2" fontId="0" fillId="0" borderId="19" xfId="0" applyNumberForma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168" fontId="0" fillId="0" borderId="1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2" fontId="0" fillId="0" borderId="24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2" fillId="0" borderId="0" xfId="0" quotePrefix="1" applyNumberFormat="1" applyFont="1" applyBorder="1" applyAlignment="1">
      <alignment horizontal="center" vertical="center"/>
    </xf>
    <xf numFmtId="168" fontId="2" fillId="0" borderId="2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8" fontId="2" fillId="0" borderId="0" xfId="0" applyNumberFormat="1" applyFont="1" applyBorder="1" applyAlignment="1">
      <alignment horizontal="center" vertical="center"/>
    </xf>
    <xf numFmtId="168" fontId="2" fillId="0" borderId="21" xfId="0" quotePrefix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8" fontId="2" fillId="0" borderId="29" xfId="0" applyNumberFormat="1" applyFont="1" applyBorder="1" applyAlignment="1">
      <alignment horizontal="center" vertical="center"/>
    </xf>
    <xf numFmtId="168" fontId="7" fillId="0" borderId="13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" fontId="0" fillId="0" borderId="11" xfId="0" applyNumberFormat="1" applyBorder="1" applyAlignment="1">
      <alignment horizontal="left" vertical="center"/>
    </xf>
    <xf numFmtId="0" fontId="1" fillId="0" borderId="23" xfId="0" applyFont="1" applyBorder="1" applyAlignment="1">
      <alignment horizontal="right" vertical="center"/>
    </xf>
    <xf numFmtId="168" fontId="0" fillId="0" borderId="24" xfId="0" applyNumberFormat="1" applyBorder="1" applyAlignment="1">
      <alignment horizontal="left" vertical="center"/>
    </xf>
    <xf numFmtId="2" fontId="6" fillId="0" borderId="15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left" vertical="center"/>
    </xf>
    <xf numFmtId="2" fontId="0" fillId="0" borderId="0" xfId="0" quotePrefix="1" applyNumberFormat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0" fontId="0" fillId="0" borderId="10" xfId="1" applyFont="1" applyBorder="1" applyAlignment="1">
      <alignment horizontal="right" vertical="center"/>
    </xf>
    <xf numFmtId="0" fontId="0" fillId="0" borderId="20" xfId="1" applyFont="1" applyBorder="1" applyAlignment="1">
      <alignment horizontal="right" vertical="center"/>
    </xf>
    <xf numFmtId="0" fontId="0" fillId="0" borderId="14" xfId="1" applyFont="1" applyBorder="1" applyAlignment="1">
      <alignment horizontal="right" vertical="center"/>
    </xf>
    <xf numFmtId="0" fontId="0" fillId="0" borderId="18" xfId="1" applyFont="1" applyBorder="1" applyAlignment="1">
      <alignment horizontal="right" vertical="center"/>
    </xf>
    <xf numFmtId="0" fontId="0" fillId="0" borderId="16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24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3" fillId="0" borderId="17" xfId="0" applyNumberFormat="1" applyFont="1" applyBorder="1" applyAlignment="1">
      <alignment horizontal="left" vertical="center"/>
    </xf>
    <xf numFmtId="1" fontId="3" fillId="0" borderId="17" xfId="0" applyNumberFormat="1" applyFont="1" applyBorder="1" applyAlignment="1">
      <alignment horizontal="left" vertical="center"/>
    </xf>
    <xf numFmtId="0" fontId="0" fillId="0" borderId="18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3" fillId="0" borderId="19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8" fontId="3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9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ormal" xfId="0" builtinId="0"/>
    <cellStyle name="Normal 2" xfId="1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04765372536499"/>
          <c:y val="5.5547304556035598E-2"/>
          <c:w val="0.79502556400103097"/>
          <c:h val="0.783068397459356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'Corr + Reg'!$B$5:$B$118</c:f>
              <c:numCache>
                <c:formatCode>General</c:formatCode>
                <c:ptCount val="114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2</c:v>
                </c:pt>
                <c:pt idx="9">
                  <c:v>9</c:v>
                </c:pt>
                <c:pt idx="10">
                  <c:v>3</c:v>
                </c:pt>
                <c:pt idx="11">
                  <c:v>2</c:v>
                </c:pt>
              </c:numCache>
            </c:numRef>
          </c:xVal>
          <c:yVal>
            <c:numRef>
              <c:f>'Corr + Reg'!$C$5:$C$118</c:f>
              <c:numCache>
                <c:formatCode>General</c:formatCode>
                <c:ptCount val="114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9</c:v>
                </c:pt>
                <c:pt idx="7">
                  <c:v>7</c:v>
                </c:pt>
                <c:pt idx="8">
                  <c:v>1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0F-164C-95E6-14E531BD9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233016"/>
        <c:axId val="2129231176"/>
      </c:scatterChart>
      <c:valAx>
        <c:axId val="2129233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29231176"/>
        <c:crosses val="autoZero"/>
        <c:crossBetween val="midCat"/>
      </c:valAx>
      <c:valAx>
        <c:axId val="2129231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2923301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2</xdr:row>
      <xdr:rowOff>14287</xdr:rowOff>
    </xdr:from>
    <xdr:to>
      <xdr:col>13</xdr:col>
      <xdr:colOff>571499</xdr:colOff>
      <xdr:row>17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3"/>
  <sheetViews>
    <sheetView tabSelected="1" workbookViewId="0"/>
  </sheetViews>
  <sheetFormatPr baseColWidth="10" defaultColWidth="8.83203125" defaultRowHeight="13" x14ac:dyDescent="0.15"/>
  <cols>
    <col min="1" max="1" width="1.6640625" style="3" customWidth="1"/>
    <col min="2" max="2" width="8.83203125" style="4"/>
    <col min="3" max="3" width="8.83203125" style="3"/>
    <col min="4" max="4" width="11.5" style="3" customWidth="1"/>
    <col min="5" max="16384" width="8.83203125" style="3"/>
  </cols>
  <sheetData>
    <row r="1" spans="2:6" ht="14" thickBot="1" x14ac:dyDescent="0.2">
      <c r="B1" s="268" t="s">
        <v>111</v>
      </c>
      <c r="C1" s="268"/>
      <c r="D1" s="268"/>
      <c r="E1" s="268"/>
      <c r="F1" s="2"/>
    </row>
    <row r="2" spans="2:6" ht="13" customHeight="1" thickBot="1" x14ac:dyDescent="0.2">
      <c r="B2" s="3"/>
    </row>
    <row r="3" spans="2:6" x14ac:dyDescent="0.15">
      <c r="B3" s="5" t="s">
        <v>9</v>
      </c>
      <c r="D3" s="266" t="s">
        <v>112</v>
      </c>
      <c r="E3" s="267"/>
      <c r="F3" s="2"/>
    </row>
    <row r="4" spans="2:6" x14ac:dyDescent="0.15">
      <c r="B4" s="154">
        <v>1170</v>
      </c>
      <c r="D4" s="55" t="s">
        <v>131</v>
      </c>
      <c r="E4" s="25">
        <f>COUNT(B4:B100000)</f>
        <v>40</v>
      </c>
      <c r="F4" s="28"/>
    </row>
    <row r="5" spans="2:6" x14ac:dyDescent="0.15">
      <c r="B5" s="154">
        <v>1290</v>
      </c>
      <c r="D5" s="56"/>
      <c r="E5" s="57"/>
      <c r="F5" s="58"/>
    </row>
    <row r="6" spans="2:6" x14ac:dyDescent="0.15">
      <c r="B6" s="154">
        <v>1190</v>
      </c>
      <c r="D6" s="1" t="s">
        <v>120</v>
      </c>
      <c r="E6" s="27">
        <f>AVERAGE(B4:B100000)</f>
        <v>1210.5</v>
      </c>
      <c r="F6" s="29"/>
    </row>
    <row r="7" spans="2:6" x14ac:dyDescent="0.15">
      <c r="B7" s="154">
        <v>1080</v>
      </c>
      <c r="D7" s="1" t="s">
        <v>121</v>
      </c>
      <c r="E7" s="27">
        <f>_xlfn.STDEV.S(B4:B100000)</f>
        <v>129.05872247219034</v>
      </c>
      <c r="F7" s="29"/>
    </row>
    <row r="8" spans="2:6" x14ac:dyDescent="0.15">
      <c r="B8" s="154">
        <v>1100</v>
      </c>
      <c r="D8" s="56"/>
      <c r="E8" s="57"/>
      <c r="F8" s="58"/>
    </row>
    <row r="9" spans="2:6" x14ac:dyDescent="0.15">
      <c r="B9" s="154">
        <v>1160</v>
      </c>
      <c r="D9" s="55" t="s">
        <v>132</v>
      </c>
      <c r="E9" s="27">
        <f>MEDIAN(B4:B100000)</f>
        <v>1190</v>
      </c>
      <c r="F9" s="29"/>
    </row>
    <row r="10" spans="2:6" x14ac:dyDescent="0.15">
      <c r="B10" s="154">
        <v>1330</v>
      </c>
      <c r="D10" s="55" t="s">
        <v>133</v>
      </c>
      <c r="E10" s="27">
        <f>E16-E14</f>
        <v>165</v>
      </c>
      <c r="F10" s="29"/>
    </row>
    <row r="11" spans="2:6" x14ac:dyDescent="0.15">
      <c r="B11" s="154">
        <v>1180</v>
      </c>
      <c r="D11" s="60"/>
      <c r="E11" s="57"/>
      <c r="F11" s="58"/>
    </row>
    <row r="12" spans="2:6" x14ac:dyDescent="0.15">
      <c r="B12" s="154">
        <v>1140</v>
      </c>
      <c r="D12" s="61" t="s">
        <v>134</v>
      </c>
      <c r="E12" s="27">
        <f>MIN(B4:B100000)</f>
        <v>890</v>
      </c>
      <c r="F12" s="29"/>
    </row>
    <row r="13" spans="2:6" x14ac:dyDescent="0.15">
      <c r="B13" s="154">
        <v>1190</v>
      </c>
      <c r="D13" s="62" t="s">
        <v>135</v>
      </c>
      <c r="E13" s="27">
        <f>_xlfn.PERCENTILE.INC(B$4:B$100000,0.1)</f>
        <v>1050</v>
      </c>
      <c r="F13" s="29"/>
    </row>
    <row r="14" spans="2:6" x14ac:dyDescent="0.15">
      <c r="B14" s="154">
        <v>1190</v>
      </c>
      <c r="D14" s="62" t="s">
        <v>136</v>
      </c>
      <c r="E14" s="27">
        <f>_xlfn.PERCENTILE.INC(B$4:B$100000,0.25)</f>
        <v>1127.5</v>
      </c>
      <c r="F14" s="29"/>
    </row>
    <row r="15" spans="2:6" x14ac:dyDescent="0.15">
      <c r="B15" s="154">
        <v>1100</v>
      </c>
      <c r="D15" s="63" t="s">
        <v>137</v>
      </c>
      <c r="E15" s="27">
        <f>_xlfn.PERCENTILE.INC(B$4:B$100000,0.5)</f>
        <v>1190</v>
      </c>
      <c r="F15" s="29"/>
    </row>
    <row r="16" spans="2:6" x14ac:dyDescent="0.15">
      <c r="B16" s="154">
        <v>1140</v>
      </c>
      <c r="D16" s="61" t="s">
        <v>138</v>
      </c>
      <c r="E16" s="27">
        <f>_xlfn.PERCENTILE.INC(B$4:B$100000,0.75)</f>
        <v>1292.5</v>
      </c>
      <c r="F16" s="29"/>
    </row>
    <row r="17" spans="2:6" x14ac:dyDescent="0.15">
      <c r="B17" s="154">
        <v>1190</v>
      </c>
      <c r="D17" s="51" t="s">
        <v>139</v>
      </c>
      <c r="E17" s="27">
        <f>_xlfn.PERCENTILE.INC(B$4:B$100000,0.9)</f>
        <v>1364</v>
      </c>
      <c r="F17" s="29"/>
    </row>
    <row r="18" spans="2:6" x14ac:dyDescent="0.15">
      <c r="B18" s="154">
        <v>1430</v>
      </c>
      <c r="D18" s="1" t="s">
        <v>140</v>
      </c>
      <c r="E18" s="27">
        <f>MAX(B4:B100000)</f>
        <v>1530</v>
      </c>
      <c r="F18" s="29"/>
    </row>
    <row r="19" spans="2:6" x14ac:dyDescent="0.15">
      <c r="B19" s="154">
        <v>1050</v>
      </c>
      <c r="D19" s="64"/>
      <c r="E19" s="57"/>
      <c r="F19" s="58"/>
    </row>
    <row r="20" spans="2:6" x14ac:dyDescent="0.15">
      <c r="B20" s="154">
        <v>1200</v>
      </c>
      <c r="D20" s="1" t="s">
        <v>141</v>
      </c>
      <c r="E20" s="27">
        <f>SKEW(B4:B100000)</f>
        <v>7.8796268006102302E-2</v>
      </c>
      <c r="F20" s="29"/>
    </row>
    <row r="21" spans="2:6" ht="14" thickBot="1" x14ac:dyDescent="0.2">
      <c r="B21" s="154">
        <v>1170</v>
      </c>
      <c r="D21" s="32" t="s">
        <v>142</v>
      </c>
      <c r="E21" s="33">
        <f>KURT(B4:B100000)</f>
        <v>0.23343090758661456</v>
      </c>
      <c r="F21" s="29"/>
    </row>
    <row r="22" spans="2:6" x14ac:dyDescent="0.15">
      <c r="B22" s="154">
        <v>1250</v>
      </c>
    </row>
    <row r="23" spans="2:6" x14ac:dyDescent="0.15">
      <c r="B23" s="154">
        <v>1280</v>
      </c>
    </row>
    <row r="24" spans="2:6" x14ac:dyDescent="0.15">
      <c r="B24" s="154">
        <v>1400</v>
      </c>
    </row>
    <row r="25" spans="2:6" x14ac:dyDescent="0.15">
      <c r="B25" s="154">
        <v>1340</v>
      </c>
    </row>
    <row r="26" spans="2:6" x14ac:dyDescent="0.15">
      <c r="B26" s="154">
        <v>1270</v>
      </c>
    </row>
    <row r="27" spans="2:6" x14ac:dyDescent="0.15">
      <c r="B27" s="154">
        <v>1110</v>
      </c>
    </row>
    <row r="28" spans="2:6" x14ac:dyDescent="0.15">
      <c r="B28" s="154">
        <v>1120</v>
      </c>
    </row>
    <row r="29" spans="2:6" x14ac:dyDescent="0.15">
      <c r="B29" s="154">
        <v>1050</v>
      </c>
    </row>
    <row r="30" spans="2:6" x14ac:dyDescent="0.15">
      <c r="B30" s="154">
        <v>1530</v>
      </c>
    </row>
    <row r="31" spans="2:6" x14ac:dyDescent="0.15">
      <c r="B31" s="154">
        <v>1250</v>
      </c>
    </row>
    <row r="32" spans="2:6" x14ac:dyDescent="0.15">
      <c r="B32" s="154">
        <v>1190</v>
      </c>
    </row>
    <row r="33" spans="2:2" x14ac:dyDescent="0.15">
      <c r="B33" s="154">
        <v>1330</v>
      </c>
    </row>
    <row r="34" spans="2:2" x14ac:dyDescent="0.15">
      <c r="B34" s="154">
        <v>1030</v>
      </c>
    </row>
    <row r="35" spans="2:2" x14ac:dyDescent="0.15">
      <c r="B35" s="154">
        <v>1290</v>
      </c>
    </row>
    <row r="36" spans="2:2" x14ac:dyDescent="0.15">
      <c r="B36" s="154">
        <v>1360</v>
      </c>
    </row>
    <row r="37" spans="2:2" x14ac:dyDescent="0.15">
      <c r="B37" s="154">
        <v>1400</v>
      </c>
    </row>
    <row r="38" spans="2:2" x14ac:dyDescent="0.15">
      <c r="B38" s="154">
        <v>1010</v>
      </c>
    </row>
    <row r="39" spans="2:2" x14ac:dyDescent="0.15">
      <c r="B39" s="154">
        <v>1300</v>
      </c>
    </row>
    <row r="40" spans="2:2" x14ac:dyDescent="0.15">
      <c r="B40" s="154">
        <v>1270</v>
      </c>
    </row>
    <row r="41" spans="2:2" x14ac:dyDescent="0.15">
      <c r="B41" s="154">
        <v>890</v>
      </c>
    </row>
    <row r="42" spans="2:2" x14ac:dyDescent="0.15">
      <c r="B42" s="154">
        <v>1130</v>
      </c>
    </row>
    <row r="43" spans="2:2" x14ac:dyDescent="0.15">
      <c r="B43" s="154">
        <v>1320</v>
      </c>
    </row>
  </sheetData>
  <mergeCells count="2">
    <mergeCell ref="D3:E3"/>
    <mergeCell ref="B1:E1"/>
  </mergeCells>
  <pageMargins left="0.75" right="0.75" top="1" bottom="1" header="0.5" footer="0.5"/>
  <pageSetup scale="90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55"/>
  <sheetViews>
    <sheetView workbookViewId="0"/>
  </sheetViews>
  <sheetFormatPr baseColWidth="10" defaultColWidth="8.83203125" defaultRowHeight="13" x14ac:dyDescent="0.15"/>
  <cols>
    <col min="1" max="1" width="1.6640625" style="3" customWidth="1"/>
    <col min="2" max="2" width="8.83203125" style="4"/>
    <col min="3" max="10" width="8.83203125" style="3"/>
    <col min="11" max="21" width="8.6640625" style="3" customWidth="1"/>
    <col min="22" max="16384" width="8.83203125" style="3"/>
  </cols>
  <sheetData>
    <row r="1" spans="2:21" ht="14" thickBot="1" x14ac:dyDescent="0.2">
      <c r="B1" s="268" t="s">
        <v>22</v>
      </c>
      <c r="C1" s="268"/>
      <c r="D1" s="268"/>
      <c r="E1" s="268"/>
      <c r="F1" s="2"/>
      <c r="G1" s="269" t="s">
        <v>109</v>
      </c>
      <c r="H1" s="269"/>
      <c r="I1" s="269"/>
      <c r="K1" s="268" t="s">
        <v>23</v>
      </c>
      <c r="L1" s="272"/>
      <c r="M1" s="272"/>
      <c r="N1" s="272"/>
      <c r="O1" s="272"/>
      <c r="P1" s="272"/>
      <c r="Q1" s="272"/>
      <c r="R1" s="272"/>
      <c r="S1" s="272"/>
      <c r="T1" s="272"/>
      <c r="U1" s="272"/>
    </row>
    <row r="2" spans="2:21" x14ac:dyDescent="0.15">
      <c r="B2" s="3"/>
      <c r="P2" s="4"/>
    </row>
    <row r="3" spans="2:21" ht="14" thickBot="1" x14ac:dyDescent="0.2">
      <c r="B3" s="5" t="s">
        <v>9</v>
      </c>
      <c r="D3" s="6" t="s">
        <v>116</v>
      </c>
      <c r="E3" s="7">
        <v>5</v>
      </c>
      <c r="F3" s="8"/>
      <c r="G3" s="6" t="s">
        <v>115</v>
      </c>
      <c r="H3" s="7">
        <v>120</v>
      </c>
      <c r="K3" s="9"/>
      <c r="L3" s="9">
        <v>0</v>
      </c>
      <c r="M3" s="9">
        <v>0.01</v>
      </c>
      <c r="N3" s="9">
        <v>0.02</v>
      </c>
      <c r="O3" s="9">
        <v>0.03</v>
      </c>
      <c r="P3" s="9">
        <v>0.04</v>
      </c>
      <c r="Q3" s="9">
        <v>0.05</v>
      </c>
      <c r="R3" s="9">
        <v>0.06</v>
      </c>
      <c r="S3" s="9">
        <v>7.0000000000000007E-2</v>
      </c>
      <c r="T3" s="9">
        <v>0.08</v>
      </c>
      <c r="U3" s="9">
        <v>0.09</v>
      </c>
    </row>
    <row r="4" spans="2:21" ht="14" x14ac:dyDescent="0.15">
      <c r="B4" s="254">
        <v>3</v>
      </c>
      <c r="D4" s="10" t="s">
        <v>117</v>
      </c>
      <c r="E4" s="11">
        <v>2</v>
      </c>
      <c r="F4" s="12"/>
      <c r="G4" s="10" t="s">
        <v>124</v>
      </c>
      <c r="H4" s="11">
        <v>100</v>
      </c>
      <c r="K4" s="9">
        <v>0</v>
      </c>
      <c r="L4" s="13">
        <f>1-NORMDIST(($K4+L$3),0,1,1)</f>
        <v>0.5</v>
      </c>
      <c r="M4" s="14">
        <f t="shared" ref="M4:U19" si="0">1-NORMDIST(($K4+M$3),0,1,1)</f>
        <v>0.4960106436853684</v>
      </c>
      <c r="N4" s="14">
        <f t="shared" si="0"/>
        <v>0.49202168628309795</v>
      </c>
      <c r="O4" s="14">
        <f t="shared" si="0"/>
        <v>0.48803352658588728</v>
      </c>
      <c r="P4" s="14">
        <f t="shared" si="0"/>
        <v>0.48404656314716932</v>
      </c>
      <c r="Q4" s="14">
        <f t="shared" si="0"/>
        <v>0.48006119416162751</v>
      </c>
      <c r="R4" s="14">
        <f t="shared" si="0"/>
        <v>0.47607781734589316</v>
      </c>
      <c r="S4" s="14">
        <f t="shared" si="0"/>
        <v>0.47209682981947887</v>
      </c>
      <c r="T4" s="14">
        <f t="shared" si="0"/>
        <v>0.46811862798601256</v>
      </c>
      <c r="U4" s="15">
        <f t="shared" si="0"/>
        <v>0.46414360741482796</v>
      </c>
    </row>
    <row r="5" spans="2:21" ht="15" thickBot="1" x14ac:dyDescent="0.2">
      <c r="B5" s="254">
        <v>8</v>
      </c>
      <c r="C5" s="253"/>
      <c r="D5" s="16" t="s">
        <v>118</v>
      </c>
      <c r="E5" s="17">
        <v>1</v>
      </c>
      <c r="F5" s="12"/>
      <c r="G5" s="10" t="s">
        <v>125</v>
      </c>
      <c r="H5" s="11">
        <v>15</v>
      </c>
      <c r="K5" s="9">
        <v>0.1</v>
      </c>
      <c r="L5" s="18">
        <f t="shared" ref="L5:U43" si="1">1-NORMDIST(($K5+L$3),0,1,1)</f>
        <v>0.46017216272297101</v>
      </c>
      <c r="M5" s="19">
        <f t="shared" si="0"/>
        <v>0.45620468745768328</v>
      </c>
      <c r="N5" s="19">
        <f t="shared" si="0"/>
        <v>0.45224157397941611</v>
      </c>
      <c r="O5" s="19">
        <f t="shared" si="0"/>
        <v>0.44828321334543886</v>
      </c>
      <c r="P5" s="19">
        <f t="shared" si="0"/>
        <v>0.44432999519409355</v>
      </c>
      <c r="Q5" s="19">
        <f t="shared" si="0"/>
        <v>0.4403823076297575</v>
      </c>
      <c r="R5" s="19">
        <f t="shared" si="0"/>
        <v>0.43644053710856712</v>
      </c>
      <c r="S5" s="19">
        <f t="shared" si="0"/>
        <v>0.43250506832496161</v>
      </c>
      <c r="T5" s="19">
        <f t="shared" si="0"/>
        <v>0.4285762840990992</v>
      </c>
      <c r="U5" s="20">
        <f t="shared" si="0"/>
        <v>0.42465456526520451</v>
      </c>
    </row>
    <row r="6" spans="2:21" ht="14" thickBot="1" x14ac:dyDescent="0.2">
      <c r="B6" s="254">
        <v>8</v>
      </c>
      <c r="C6" s="253"/>
      <c r="D6" s="21"/>
      <c r="E6" s="22"/>
      <c r="F6" s="12"/>
      <c r="G6" s="23" t="s">
        <v>113</v>
      </c>
      <c r="H6" s="24">
        <f>(H3-H4)/H5</f>
        <v>1.3333333333333333</v>
      </c>
      <c r="K6" s="9">
        <v>0.2</v>
      </c>
      <c r="L6" s="18">
        <f t="shared" si="1"/>
        <v>0.42074029056089701</v>
      </c>
      <c r="M6" s="19">
        <f t="shared" si="0"/>
        <v>0.41683383651755768</v>
      </c>
      <c r="N6" s="19">
        <f t="shared" si="0"/>
        <v>0.41293557735178532</v>
      </c>
      <c r="O6" s="19">
        <f t="shared" si="0"/>
        <v>0.40904588485799409</v>
      </c>
      <c r="P6" s="19">
        <f t="shared" si="0"/>
        <v>0.40516512830220419</v>
      </c>
      <c r="Q6" s="19">
        <f t="shared" si="0"/>
        <v>0.4012936743170763</v>
      </c>
      <c r="R6" s="19">
        <f t="shared" si="0"/>
        <v>0.39743188679823949</v>
      </c>
      <c r="S6" s="19">
        <f t="shared" si="0"/>
        <v>0.39358012680196053</v>
      </c>
      <c r="T6" s="19">
        <f t="shared" si="0"/>
        <v>0.38973875244420275</v>
      </c>
      <c r="U6" s="20">
        <f t="shared" si="0"/>
        <v>0.38590811880112263</v>
      </c>
    </row>
    <row r="7" spans="2:21" x14ac:dyDescent="0.15">
      <c r="B7" s="254">
        <v>9</v>
      </c>
      <c r="C7" s="253"/>
      <c r="D7" s="266" t="s">
        <v>13</v>
      </c>
      <c r="E7" s="267"/>
      <c r="F7" s="22"/>
      <c r="K7" s="9">
        <v>0.3</v>
      </c>
      <c r="L7" s="18">
        <f t="shared" si="1"/>
        <v>0.38208857781104733</v>
      </c>
      <c r="M7" s="19">
        <f t="shared" si="0"/>
        <v>0.37828047817798072</v>
      </c>
      <c r="N7" s="19">
        <f t="shared" si="0"/>
        <v>0.37448416527667994</v>
      </c>
      <c r="O7" s="19">
        <f t="shared" si="0"/>
        <v>0.37069998105934654</v>
      </c>
      <c r="P7" s="19">
        <f t="shared" si="0"/>
        <v>0.36692826396397193</v>
      </c>
      <c r="Q7" s="19">
        <f t="shared" si="0"/>
        <v>0.3631693488243809</v>
      </c>
      <c r="R7" s="19">
        <f t="shared" si="0"/>
        <v>0.35942356678200871</v>
      </c>
      <c r="S7" s="19">
        <f t="shared" si="0"/>
        <v>0.35569124519945317</v>
      </c>
      <c r="T7" s="19">
        <f t="shared" si="0"/>
        <v>0.35197270757583721</v>
      </c>
      <c r="U7" s="20">
        <f t="shared" si="0"/>
        <v>0.34826827346401756</v>
      </c>
    </row>
    <row r="8" spans="2:21" x14ac:dyDescent="0.15">
      <c r="B8" s="254">
        <v>6</v>
      </c>
      <c r="C8" s="253"/>
      <c r="D8" s="1" t="s">
        <v>119</v>
      </c>
      <c r="E8" s="25">
        <f>COUNT(B4:B100000)</f>
        <v>16</v>
      </c>
      <c r="F8" s="8"/>
      <c r="G8" s="6" t="s">
        <v>114</v>
      </c>
      <c r="H8" s="26">
        <v>-2</v>
      </c>
      <c r="K8" s="9">
        <v>0.4</v>
      </c>
      <c r="L8" s="18">
        <f t="shared" si="1"/>
        <v>0.34457825838967571</v>
      </c>
      <c r="M8" s="19">
        <f t="shared" si="0"/>
        <v>0.34090297377232259</v>
      </c>
      <c r="N8" s="19">
        <f t="shared" si="0"/>
        <v>0.33724272684824941</v>
      </c>
      <c r="O8" s="19">
        <f t="shared" si="0"/>
        <v>0.33359782059545762</v>
      </c>
      <c r="P8" s="19">
        <f t="shared" si="0"/>
        <v>0.32996855366059363</v>
      </c>
      <c r="Q8" s="19">
        <f t="shared" si="0"/>
        <v>0.32635522028791997</v>
      </c>
      <c r="R8" s="19">
        <f t="shared" si="0"/>
        <v>0.32275811025034773</v>
      </c>
      <c r="S8" s="19">
        <f t="shared" si="0"/>
        <v>0.3191775087825558</v>
      </c>
      <c r="T8" s="19">
        <f t="shared" si="0"/>
        <v>0.31561369651622251</v>
      </c>
      <c r="U8" s="20">
        <f t="shared" si="0"/>
        <v>0.31206694941739055</v>
      </c>
    </row>
    <row r="9" spans="2:21" ht="14" x14ac:dyDescent="0.15">
      <c r="B9" s="254">
        <v>6</v>
      </c>
      <c r="C9" s="253"/>
      <c r="D9" s="1" t="s">
        <v>120</v>
      </c>
      <c r="E9" s="27">
        <f>AVERAGE(B4:B100000)</f>
        <v>5.75</v>
      </c>
      <c r="F9" s="28"/>
      <c r="G9" s="10" t="s">
        <v>124</v>
      </c>
      <c r="H9" s="11">
        <v>100</v>
      </c>
      <c r="K9" s="9">
        <v>0.5</v>
      </c>
      <c r="L9" s="18">
        <f t="shared" si="1"/>
        <v>0.30853753872598688</v>
      </c>
      <c r="M9" s="19">
        <f t="shared" si="0"/>
        <v>0.30502573089751939</v>
      </c>
      <c r="N9" s="19">
        <f t="shared" si="0"/>
        <v>0.30153178754696619</v>
      </c>
      <c r="O9" s="19">
        <f t="shared" si="0"/>
        <v>0.29805596539487644</v>
      </c>
      <c r="P9" s="19">
        <f t="shared" si="0"/>
        <v>0.29459851621569799</v>
      </c>
      <c r="Q9" s="19">
        <f t="shared" si="0"/>
        <v>0.29115968678834636</v>
      </c>
      <c r="R9" s="19">
        <f t="shared" si="0"/>
        <v>0.28773971884902705</v>
      </c>
      <c r="S9" s="19">
        <f t="shared" si="0"/>
        <v>0.28433884904632412</v>
      </c>
      <c r="T9" s="19">
        <f t="shared" si="0"/>
        <v>0.2809573088985643</v>
      </c>
      <c r="U9" s="20">
        <f t="shared" si="0"/>
        <v>0.27759532475346493</v>
      </c>
    </row>
    <row r="10" spans="2:21" ht="15" thickBot="1" x14ac:dyDescent="0.2">
      <c r="B10" s="254">
        <v>5</v>
      </c>
      <c r="C10" s="253"/>
      <c r="D10" s="51" t="s">
        <v>121</v>
      </c>
      <c r="E10" s="27">
        <f>_xlfn.STDEV.S(B4:B100000)</f>
        <v>2.0816659994661326</v>
      </c>
      <c r="F10" s="29"/>
      <c r="G10" s="10" t="s">
        <v>125</v>
      </c>
      <c r="H10" s="11">
        <v>15</v>
      </c>
      <c r="K10" s="9">
        <v>0.6</v>
      </c>
      <c r="L10" s="18">
        <f t="shared" si="1"/>
        <v>0.27425311775007355</v>
      </c>
      <c r="M10" s="19">
        <f t="shared" si="0"/>
        <v>0.27093090378300566</v>
      </c>
      <c r="N10" s="19">
        <f t="shared" si="0"/>
        <v>0.267628893468983</v>
      </c>
      <c r="O10" s="19">
        <f t="shared" si="0"/>
        <v>0.26434729211567753</v>
      </c>
      <c r="P10" s="19">
        <f t="shared" si="0"/>
        <v>0.26108629969286157</v>
      </c>
      <c r="Q10" s="19">
        <f t="shared" si="0"/>
        <v>0.25784611080586473</v>
      </c>
      <c r="R10" s="19">
        <f t="shared" si="0"/>
        <v>0.25462691467133614</v>
      </c>
      <c r="S10" s="19">
        <f t="shared" si="0"/>
        <v>0.25142889509531008</v>
      </c>
      <c r="T10" s="19">
        <f t="shared" si="0"/>
        <v>0.24825223045357048</v>
      </c>
      <c r="U10" s="20">
        <f t="shared" si="0"/>
        <v>0.24509709367430943</v>
      </c>
    </row>
    <row r="11" spans="2:21" ht="14" thickBot="1" x14ac:dyDescent="0.2">
      <c r="B11" s="254">
        <v>4</v>
      </c>
      <c r="C11" s="253"/>
      <c r="D11" s="1" t="s">
        <v>114</v>
      </c>
      <c r="E11" s="27">
        <f>(E9-E3)/(E4/SQRT(E8))</f>
        <v>1.5</v>
      </c>
      <c r="F11" s="29"/>
      <c r="G11" s="23" t="s">
        <v>126</v>
      </c>
      <c r="H11" s="30">
        <f>H8*H10+H9</f>
        <v>70</v>
      </c>
      <c r="K11" s="9">
        <v>0.7</v>
      </c>
      <c r="L11" s="18">
        <f t="shared" si="1"/>
        <v>0.24196365222307303</v>
      </c>
      <c r="M11" s="19">
        <f t="shared" si="0"/>
        <v>0.23885206808998671</v>
      </c>
      <c r="N11" s="19">
        <f t="shared" si="0"/>
        <v>0.23576249777925118</v>
      </c>
      <c r="O11" s="19">
        <f t="shared" si="0"/>
        <v>0.23269509230089747</v>
      </c>
      <c r="P11" s="19">
        <f t="shared" si="0"/>
        <v>0.22964999716479062</v>
      </c>
      <c r="Q11" s="19">
        <f t="shared" si="0"/>
        <v>0.22662735237686826</v>
      </c>
      <c r="R11" s="19">
        <f t="shared" si="0"/>
        <v>0.22362729243759938</v>
      </c>
      <c r="S11" s="19">
        <f t="shared" si="0"/>
        <v>0.22064994634264956</v>
      </c>
      <c r="T11" s="19">
        <f t="shared" si="0"/>
        <v>0.21769543758573318</v>
      </c>
      <c r="U11" s="20">
        <f t="shared" si="0"/>
        <v>0.21476388416363723</v>
      </c>
    </row>
    <row r="12" spans="2:21" x14ac:dyDescent="0.15">
      <c r="B12" s="254">
        <v>5</v>
      </c>
      <c r="C12" s="253"/>
      <c r="D12" s="1" t="s">
        <v>122</v>
      </c>
      <c r="E12" s="31">
        <f>(1-NORMDIST(ABS(E11),0,1,1))*E5</f>
        <v>6.6807201268858085E-2</v>
      </c>
      <c r="F12" s="29"/>
      <c r="K12" s="9">
        <v>0.8</v>
      </c>
      <c r="L12" s="18">
        <f t="shared" si="1"/>
        <v>0.21185539858339664</v>
      </c>
      <c r="M12" s="19">
        <f t="shared" si="0"/>
        <v>0.20897008787160165</v>
      </c>
      <c r="N12" s="19">
        <f t="shared" si="0"/>
        <v>0.20610805358581308</v>
      </c>
      <c r="O12" s="19">
        <f t="shared" si="0"/>
        <v>0.20326939182806836</v>
      </c>
      <c r="P12" s="19">
        <f t="shared" si="0"/>
        <v>0.20045419326044966</v>
      </c>
      <c r="Q12" s="19">
        <f t="shared" si="0"/>
        <v>0.19766254312269238</v>
      </c>
      <c r="R12" s="19">
        <f t="shared" si="0"/>
        <v>0.19489452125180828</v>
      </c>
      <c r="S12" s="19">
        <f t="shared" si="0"/>
        <v>0.19215020210369615</v>
      </c>
      <c r="T12" s="19">
        <f t="shared" si="0"/>
        <v>0.18942965477671214</v>
      </c>
      <c r="U12" s="20">
        <f t="shared" si="0"/>
        <v>0.18673294303717258</v>
      </c>
    </row>
    <row r="13" spans="2:21" ht="14" thickBot="1" x14ac:dyDescent="0.2">
      <c r="B13" s="254">
        <v>6</v>
      </c>
      <c r="C13" s="253"/>
      <c r="D13" s="32" t="s">
        <v>123</v>
      </c>
      <c r="E13" s="33">
        <f>(E9-E3)/E4</f>
        <v>0.375</v>
      </c>
      <c r="F13" s="34"/>
      <c r="K13" s="9">
        <v>0.9</v>
      </c>
      <c r="L13" s="18">
        <f t="shared" si="1"/>
        <v>0.18406012534675953</v>
      </c>
      <c r="M13" s="19">
        <f t="shared" si="0"/>
        <v>0.18141125489179721</v>
      </c>
      <c r="N13" s="19">
        <f t="shared" si="0"/>
        <v>0.17878637961437172</v>
      </c>
      <c r="O13" s="19">
        <f t="shared" si="0"/>
        <v>0.17618554224525784</v>
      </c>
      <c r="P13" s="19">
        <f t="shared" si="0"/>
        <v>0.17360878033862448</v>
      </c>
      <c r="Q13" s="19">
        <f t="shared" si="0"/>
        <v>0.17105612630848177</v>
      </c>
      <c r="R13" s="19">
        <f t="shared" si="0"/>
        <v>0.16852760746683781</v>
      </c>
      <c r="S13" s="19">
        <f t="shared" si="0"/>
        <v>0.16602324606352958</v>
      </c>
      <c r="T13" s="19">
        <f t="shared" si="0"/>
        <v>0.16354305932769231</v>
      </c>
      <c r="U13" s="20">
        <f t="shared" si="0"/>
        <v>0.16108705951083091</v>
      </c>
    </row>
    <row r="14" spans="2:21" ht="14" thickBot="1" x14ac:dyDescent="0.2">
      <c r="B14" s="254">
        <v>8</v>
      </c>
      <c r="C14" s="253"/>
      <c r="F14" s="29"/>
      <c r="G14" s="271" t="s">
        <v>29</v>
      </c>
      <c r="H14" s="271"/>
      <c r="I14" s="271"/>
      <c r="K14" s="9">
        <v>1</v>
      </c>
      <c r="L14" s="18">
        <f t="shared" si="1"/>
        <v>0.15865525393145696</v>
      </c>
      <c r="M14" s="19">
        <f t="shared" si="0"/>
        <v>0.15624764502125454</v>
      </c>
      <c r="N14" s="19">
        <f t="shared" si="0"/>
        <v>0.15386423037273489</v>
      </c>
      <c r="O14" s="19">
        <f t="shared" si="0"/>
        <v>0.15150500278834367</v>
      </c>
      <c r="P14" s="19">
        <f t="shared" si="0"/>
        <v>0.14916995033098135</v>
      </c>
      <c r="Q14" s="19">
        <f t="shared" si="0"/>
        <v>0.14685905637589591</v>
      </c>
      <c r="R14" s="19">
        <f t="shared" si="0"/>
        <v>0.14457229966390961</v>
      </c>
      <c r="S14" s="19">
        <f t="shared" si="0"/>
        <v>0.14230965435593923</v>
      </c>
      <c r="T14" s="19">
        <f t="shared" si="0"/>
        <v>0.14007109008876906</v>
      </c>
      <c r="U14" s="20">
        <f t="shared" si="0"/>
        <v>0.1378565720320355</v>
      </c>
    </row>
    <row r="15" spans="2:21" x14ac:dyDescent="0.15">
      <c r="B15" s="254">
        <v>8</v>
      </c>
      <c r="C15" s="253"/>
      <c r="K15" s="9">
        <v>1.1000000000000001</v>
      </c>
      <c r="L15" s="18">
        <f t="shared" si="1"/>
        <v>0.13566606094638267</v>
      </c>
      <c r="M15" s="19">
        <f t="shared" si="0"/>
        <v>0.13349951324274723</v>
      </c>
      <c r="N15" s="19">
        <f t="shared" si="0"/>
        <v>0.13135688104273069</v>
      </c>
      <c r="O15" s="19">
        <f t="shared" si="0"/>
        <v>0.1292381122400178</v>
      </c>
      <c r="P15" s="19">
        <f t="shared" si="0"/>
        <v>0.12714315056279824</v>
      </c>
      <c r="Q15" s="19">
        <f t="shared" si="0"/>
        <v>0.12507193563715013</v>
      </c>
      <c r="R15" s="19">
        <f t="shared" si="0"/>
        <v>0.12302440305134332</v>
      </c>
      <c r="S15" s="19">
        <f t="shared" si="0"/>
        <v>0.12100048442101818</v>
      </c>
      <c r="T15" s="19">
        <f t="shared" si="0"/>
        <v>0.11900010745520062</v>
      </c>
      <c r="U15" s="20">
        <f t="shared" si="0"/>
        <v>0.11702319602310873</v>
      </c>
    </row>
    <row r="16" spans="2:21" ht="14" thickBot="1" x14ac:dyDescent="0.2">
      <c r="B16" s="254">
        <v>6</v>
      </c>
      <c r="C16" s="253"/>
      <c r="G16" s="35" t="s">
        <v>113</v>
      </c>
      <c r="H16" s="36">
        <v>1.96</v>
      </c>
      <c r="I16" s="8"/>
      <c r="K16" s="9">
        <v>1.2</v>
      </c>
      <c r="L16" s="18">
        <f t="shared" si="1"/>
        <v>0.11506967022170822</v>
      </c>
      <c r="M16" s="19">
        <f t="shared" si="0"/>
        <v>0.11313944644397722</v>
      </c>
      <c r="N16" s="19">
        <f t="shared" si="0"/>
        <v>0.11123243744783462</v>
      </c>
      <c r="O16" s="19">
        <f t="shared" si="0"/>
        <v>0.10934855242569186</v>
      </c>
      <c r="P16" s="19">
        <f t="shared" si="0"/>
        <v>0.10748769707458694</v>
      </c>
      <c r="Q16" s="19">
        <f t="shared" si="0"/>
        <v>0.10564977366685524</v>
      </c>
      <c r="R16" s="19">
        <f t="shared" si="0"/>
        <v>0.10383468112130034</v>
      </c>
      <c r="S16" s="19">
        <f t="shared" si="0"/>
        <v>0.10204231507481909</v>
      </c>
      <c r="T16" s="19">
        <f t="shared" si="0"/>
        <v>0.10027256795444206</v>
      </c>
      <c r="U16" s="20">
        <f t="shared" si="0"/>
        <v>9.8525329049747867E-2</v>
      </c>
    </row>
    <row r="17" spans="2:21" x14ac:dyDescent="0.15">
      <c r="B17" s="254">
        <v>3</v>
      </c>
      <c r="C17" s="253"/>
      <c r="G17" s="37" t="s">
        <v>127</v>
      </c>
      <c r="H17" s="38">
        <f>_xlfn.NORM.DIST(H16,0,1,1)</f>
        <v>0.97500210485177952</v>
      </c>
      <c r="I17" s="12"/>
      <c r="K17" s="9">
        <v>1.3</v>
      </c>
      <c r="L17" s="18">
        <f t="shared" si="1"/>
        <v>9.6800484585610302E-2</v>
      </c>
      <c r="M17" s="19">
        <f t="shared" si="0"/>
        <v>9.5097917795239018E-2</v>
      </c>
      <c r="N17" s="19">
        <f t="shared" si="0"/>
        <v>9.3417508993471787E-2</v>
      </c>
      <c r="O17" s="19">
        <f t="shared" si="0"/>
        <v>9.1759135650280821E-2</v>
      </c>
      <c r="P17" s="19">
        <f t="shared" si="0"/>
        <v>9.0122672464452491E-2</v>
      </c>
      <c r="Q17" s="19">
        <f t="shared" si="0"/>
        <v>8.8507991437401956E-2</v>
      </c>
      <c r="R17" s="19">
        <f t="shared" si="0"/>
        <v>8.6914961947085034E-2</v>
      </c>
      <c r="S17" s="19">
        <f t="shared" si="0"/>
        <v>8.5343450821966926E-2</v>
      </c>
      <c r="T17" s="19">
        <f t="shared" si="0"/>
        <v>8.3793322415014249E-2</v>
      </c>
      <c r="U17" s="20">
        <f t="shared" si="0"/>
        <v>8.2264438677668861E-2</v>
      </c>
    </row>
    <row r="18" spans="2:21" ht="14" thickBot="1" x14ac:dyDescent="0.2">
      <c r="B18" s="254">
        <v>5</v>
      </c>
      <c r="C18" s="253"/>
      <c r="G18" s="39" t="s">
        <v>128</v>
      </c>
      <c r="H18" s="40">
        <f>1-H17</f>
        <v>2.4997895148220484E-2</v>
      </c>
      <c r="I18" s="12"/>
      <c r="K18" s="9">
        <v>1.4</v>
      </c>
      <c r="L18" s="18">
        <f t="shared" si="1"/>
        <v>8.0756659233771066E-2</v>
      </c>
      <c r="M18" s="19">
        <f t="shared" si="0"/>
        <v>7.9269841453392442E-2</v>
      </c>
      <c r="N18" s="19">
        <f t="shared" si="0"/>
        <v>7.780384052654632E-2</v>
      </c>
      <c r="O18" s="19">
        <f t="shared" si="0"/>
        <v>7.6358509536739172E-2</v>
      </c>
      <c r="P18" s="19">
        <f t="shared" si="0"/>
        <v>7.4933699534327047E-2</v>
      </c>
      <c r="Q18" s="19">
        <f t="shared" si="0"/>
        <v>7.3529259609648401E-2</v>
      </c>
      <c r="R18" s="19">
        <f t="shared" si="0"/>
        <v>7.2145036965893805E-2</v>
      </c>
      <c r="S18" s="19">
        <f t="shared" si="0"/>
        <v>7.078087699168556E-2</v>
      </c>
      <c r="T18" s="19">
        <f t="shared" si="0"/>
        <v>6.9436623333331671E-2</v>
      </c>
      <c r="U18" s="20">
        <f t="shared" si="0"/>
        <v>6.8112117966725449E-2</v>
      </c>
    </row>
    <row r="19" spans="2:21" x14ac:dyDescent="0.15">
      <c r="B19" s="254">
        <v>2</v>
      </c>
      <c r="C19" s="253"/>
      <c r="G19" s="12"/>
      <c r="H19" s="12"/>
      <c r="I19" s="12"/>
      <c r="K19" s="9">
        <v>1.5</v>
      </c>
      <c r="L19" s="18">
        <f t="shared" si="1"/>
        <v>6.6807201268858085E-2</v>
      </c>
      <c r="M19" s="19">
        <f t="shared" si="0"/>
        <v>6.5521712088916439E-2</v>
      </c>
      <c r="N19" s="19">
        <f t="shared" si="0"/>
        <v>6.4255487818935753E-2</v>
      </c>
      <c r="O19" s="19">
        <f t="shared" si="0"/>
        <v>6.3008364463978395E-2</v>
      </c>
      <c r="P19" s="19">
        <f t="shared" si="0"/>
        <v>6.1780176711811907E-2</v>
      </c>
      <c r="Q19" s="19">
        <f t="shared" si="0"/>
        <v>6.0570758002059022E-2</v>
      </c>
      <c r="R19" s="19">
        <f t="shared" si="0"/>
        <v>5.9379940594793013E-2</v>
      </c>
      <c r="S19" s="19">
        <f t="shared" si="0"/>
        <v>5.8207555638553066E-2</v>
      </c>
      <c r="T19" s="19">
        <f t="shared" si="0"/>
        <v>5.7053433237754136E-2</v>
      </c>
      <c r="U19" s="20">
        <f t="shared" si="0"/>
        <v>5.5917402519469417E-2</v>
      </c>
    </row>
    <row r="20" spans="2:21" ht="14" thickBot="1" x14ac:dyDescent="0.2">
      <c r="B20" s="254"/>
      <c r="C20" s="253"/>
      <c r="G20" s="35" t="s">
        <v>129</v>
      </c>
      <c r="H20" s="41">
        <v>2.5000000000000001E-2</v>
      </c>
      <c r="I20" s="22"/>
      <c r="K20" s="9">
        <v>1.6</v>
      </c>
      <c r="L20" s="18">
        <f t="shared" si="1"/>
        <v>5.4799291699557995E-2</v>
      </c>
      <c r="M20" s="19">
        <f t="shared" si="1"/>
        <v>5.3698928148119718E-2</v>
      </c>
      <c r="N20" s="19">
        <f t="shared" si="1"/>
        <v>5.2616138454252059E-2</v>
      </c>
      <c r="O20" s="19">
        <f t="shared" si="1"/>
        <v>5.1550748490089338E-2</v>
      </c>
      <c r="P20" s="19">
        <f t="shared" si="1"/>
        <v>5.0502583474103746E-2</v>
      </c>
      <c r="Q20" s="19">
        <f t="shared" si="1"/>
        <v>4.9471468033648103E-2</v>
      </c>
      <c r="R20" s="19">
        <f t="shared" si="1"/>
        <v>4.8457226266722775E-2</v>
      </c>
      <c r="S20" s="19">
        <f t="shared" si="1"/>
        <v>4.7459681802947351E-2</v>
      </c>
      <c r="T20" s="19">
        <f t="shared" si="1"/>
        <v>4.6478657863719963E-2</v>
      </c>
      <c r="U20" s="20">
        <f t="shared" si="1"/>
        <v>4.5513977321549826E-2</v>
      </c>
    </row>
    <row r="21" spans="2:21" ht="14" thickBot="1" x14ac:dyDescent="0.2">
      <c r="B21" s="254"/>
      <c r="C21" s="253"/>
      <c r="G21" s="23" t="s">
        <v>113</v>
      </c>
      <c r="H21" s="42">
        <f>_xlfn.NORM.INV(H20,0,1)</f>
        <v>-1.9599639845400538</v>
      </c>
      <c r="I21" s="8"/>
      <c r="K21" s="9">
        <v>1.7</v>
      </c>
      <c r="L21" s="18">
        <f t="shared" si="1"/>
        <v>4.4565462758543006E-2</v>
      </c>
      <c r="M21" s="19">
        <f t="shared" si="1"/>
        <v>4.3632936524031884E-2</v>
      </c>
      <c r="N21" s="19">
        <f t="shared" si="1"/>
        <v>4.2716220791328863E-2</v>
      </c>
      <c r="O21" s="19">
        <f t="shared" si="1"/>
        <v>4.1815137613594899E-2</v>
      </c>
      <c r="P21" s="19">
        <f t="shared" si="1"/>
        <v>4.0929508978807316E-2</v>
      </c>
      <c r="Q21" s="19">
        <f t="shared" si="1"/>
        <v>4.0059156863817114E-2</v>
      </c>
      <c r="R21" s="19">
        <f t="shared" si="1"/>
        <v>3.9203903287482689E-2</v>
      </c>
      <c r="S21" s="19">
        <f t="shared" si="1"/>
        <v>3.8363570362871191E-2</v>
      </c>
      <c r="T21" s="19">
        <f t="shared" si="1"/>
        <v>3.7537980348516742E-2</v>
      </c>
      <c r="U21" s="20">
        <f t="shared" si="1"/>
        <v>3.6726955698726305E-2</v>
      </c>
    </row>
    <row r="22" spans="2:21" x14ac:dyDescent="0.15">
      <c r="B22" s="254"/>
      <c r="C22" s="253"/>
      <c r="G22" s="28"/>
      <c r="H22" s="28"/>
      <c r="I22" s="28"/>
      <c r="K22" s="9">
        <v>1.8</v>
      </c>
      <c r="L22" s="18">
        <f t="shared" si="1"/>
        <v>3.5930319112925768E-2</v>
      </c>
      <c r="M22" s="19">
        <f t="shared" si="1"/>
        <v>3.5147893584038803E-2</v>
      </c>
      <c r="N22" s="19">
        <f t="shared" si="1"/>
        <v>3.4379502445889942E-2</v>
      </c>
      <c r="O22" s="19">
        <f t="shared" si="1"/>
        <v>3.3624969419628337E-2</v>
      </c>
      <c r="P22" s="19">
        <f t="shared" si="1"/>
        <v>3.2884118659163852E-2</v>
      </c>
      <c r="Q22" s="19">
        <f t="shared" si="1"/>
        <v>3.2156774795613741E-2</v>
      </c>
      <c r="R22" s="19">
        <f t="shared" si="1"/>
        <v>3.1442762980752659E-2</v>
      </c>
      <c r="S22" s="19">
        <f t="shared" si="1"/>
        <v>3.0741908929465933E-2</v>
      </c>
      <c r="T22" s="19">
        <f t="shared" si="1"/>
        <v>3.0054038961199736E-2</v>
      </c>
      <c r="U22" s="20">
        <f t="shared" si="1"/>
        <v>2.9378980040409397E-2</v>
      </c>
    </row>
    <row r="23" spans="2:21" ht="14" thickBot="1" x14ac:dyDescent="0.2">
      <c r="B23" s="254"/>
      <c r="C23" s="253"/>
      <c r="G23" s="35" t="s">
        <v>128</v>
      </c>
      <c r="H23" s="41">
        <v>2.5000000000000001E-2</v>
      </c>
      <c r="I23" s="29"/>
      <c r="K23" s="9">
        <v>1.9</v>
      </c>
      <c r="L23" s="18">
        <f t="shared" si="1"/>
        <v>2.8716559816001852E-2</v>
      </c>
      <c r="M23" s="19">
        <f t="shared" si="1"/>
        <v>2.8066606659772564E-2</v>
      </c>
      <c r="N23" s="19">
        <f t="shared" si="1"/>
        <v>2.7428949703836802E-2</v>
      </c>
      <c r="O23" s="19">
        <f t="shared" si="1"/>
        <v>2.6803418877054952E-2</v>
      </c>
      <c r="P23" s="19">
        <f t="shared" si="1"/>
        <v>2.6189844940452733E-2</v>
      </c>
      <c r="Q23" s="19">
        <f t="shared" si="1"/>
        <v>2.5588059521638562E-2</v>
      </c>
      <c r="R23" s="19">
        <f t="shared" si="1"/>
        <v>2.4997895148220484E-2</v>
      </c>
      <c r="S23" s="19">
        <f t="shared" si="1"/>
        <v>2.4419185280222577E-2</v>
      </c>
      <c r="T23" s="19">
        <f t="shared" si="1"/>
        <v>2.3851764341508486E-2</v>
      </c>
      <c r="U23" s="20">
        <f t="shared" si="1"/>
        <v>2.3295467750211851E-2</v>
      </c>
    </row>
    <row r="24" spans="2:21" ht="14" thickBot="1" x14ac:dyDescent="0.2">
      <c r="B24" s="254"/>
      <c r="G24" s="23" t="s">
        <v>113</v>
      </c>
      <c r="H24" s="42">
        <f>_xlfn.NORM.INV((1-H23),0,1)</f>
        <v>1.9599639845400536</v>
      </c>
      <c r="I24" s="29"/>
      <c r="K24" s="9">
        <v>2</v>
      </c>
      <c r="L24" s="18">
        <f t="shared" si="1"/>
        <v>2.2750131948179209E-2</v>
      </c>
      <c r="M24" s="19">
        <f t="shared" si="1"/>
        <v>2.221559442943144E-2</v>
      </c>
      <c r="N24" s="19">
        <f t="shared" si="1"/>
        <v>2.1691693767646791E-2</v>
      </c>
      <c r="O24" s="19">
        <f t="shared" si="1"/>
        <v>2.1178269642672221E-2</v>
      </c>
      <c r="P24" s="19">
        <f t="shared" si="1"/>
        <v>2.0675162866070074E-2</v>
      </c>
      <c r="Q24" s="19">
        <f t="shared" si="1"/>
        <v>2.0182215405704418E-2</v>
      </c>
      <c r="R24" s="19">
        <f t="shared" si="1"/>
        <v>1.9699270409376912E-2</v>
      </c>
      <c r="S24" s="19">
        <f t="shared" si="1"/>
        <v>1.9226172227517324E-2</v>
      </c>
      <c r="T24" s="19">
        <f t="shared" si="1"/>
        <v>1.8762766434937794E-2</v>
      </c>
      <c r="U24" s="20">
        <f t="shared" si="1"/>
        <v>1.8308899851658955E-2</v>
      </c>
    </row>
    <row r="25" spans="2:21" x14ac:dyDescent="0.15">
      <c r="B25" s="254"/>
      <c r="K25" s="9">
        <v>2.1</v>
      </c>
      <c r="L25" s="18">
        <f t="shared" si="1"/>
        <v>1.7864420562816563E-2</v>
      </c>
      <c r="M25" s="19">
        <f t="shared" si="1"/>
        <v>1.7429177937657081E-2</v>
      </c>
      <c r="N25" s="19">
        <f t="shared" si="1"/>
        <v>1.700302264763276E-2</v>
      </c>
      <c r="O25" s="19">
        <f t="shared" si="1"/>
        <v>1.6585806683604987E-2</v>
      </c>
      <c r="P25" s="19">
        <f t="shared" si="1"/>
        <v>1.6177383372166121E-2</v>
      </c>
      <c r="Q25" s="19">
        <f t="shared" si="1"/>
        <v>1.5777607391090465E-2</v>
      </c>
      <c r="R25" s="19">
        <f t="shared" si="1"/>
        <v>1.5386334783925482E-2</v>
      </c>
      <c r="S25" s="19">
        <f t="shared" si="1"/>
        <v>1.500342297373225E-2</v>
      </c>
      <c r="T25" s="19">
        <f t="shared" si="1"/>
        <v>1.4628730775989252E-2</v>
      </c>
      <c r="U25" s="20">
        <f t="shared" si="1"/>
        <v>1.4262118410668823E-2</v>
      </c>
    </row>
    <row r="26" spans="2:21" x14ac:dyDescent="0.15">
      <c r="B26" s="254"/>
      <c r="K26" s="9">
        <v>2.2000000000000002</v>
      </c>
      <c r="L26" s="18">
        <f t="shared" si="1"/>
        <v>1.390344751349859E-2</v>
      </c>
      <c r="M26" s="19">
        <f t="shared" si="1"/>
        <v>1.3552581146419995E-2</v>
      </c>
      <c r="N26" s="19">
        <f t="shared" si="1"/>
        <v>1.3209383807256225E-2</v>
      </c>
      <c r="O26" s="19">
        <f t="shared" si="1"/>
        <v>1.2873721438601993E-2</v>
      </c>
      <c r="P26" s="19">
        <f t="shared" si="1"/>
        <v>1.2545461435946592E-2</v>
      </c>
      <c r="Q26" s="19">
        <f t="shared" si="1"/>
        <v>1.2224472655044671E-2</v>
      </c>
      <c r="R26" s="19">
        <f t="shared" si="1"/>
        <v>1.1910625418547038E-2</v>
      </c>
      <c r="S26" s="19">
        <f t="shared" si="1"/>
        <v>1.1603791521903495E-2</v>
      </c>
      <c r="T26" s="19">
        <f t="shared" si="1"/>
        <v>1.1303844238552796E-2</v>
      </c>
      <c r="U26" s="20">
        <f t="shared" si="1"/>
        <v>1.1010658324411393E-2</v>
      </c>
    </row>
    <row r="27" spans="2:21" ht="14" thickBot="1" x14ac:dyDescent="0.2">
      <c r="B27" s="254"/>
      <c r="G27" s="270" t="s">
        <v>30</v>
      </c>
      <c r="H27" s="270"/>
      <c r="I27" s="270"/>
      <c r="K27" s="9">
        <v>2.2999999999999998</v>
      </c>
      <c r="L27" s="18">
        <f t="shared" si="1"/>
        <v>1.0724110021675837E-2</v>
      </c>
      <c r="M27" s="19">
        <f t="shared" si="1"/>
        <v>1.0444077061951051E-2</v>
      </c>
      <c r="N27" s="19">
        <f t="shared" si="1"/>
        <v>1.0170438668719695E-2</v>
      </c>
      <c r="O27" s="19">
        <f t="shared" si="1"/>
        <v>9.9030755591642539E-3</v>
      </c>
      <c r="P27" s="19">
        <f t="shared" si="1"/>
        <v>9.6418699453583168E-3</v>
      </c>
      <c r="Q27" s="19">
        <f t="shared" si="1"/>
        <v>9.3867055348385575E-3</v>
      </c>
      <c r="R27" s="19">
        <f t="shared" si="1"/>
        <v>9.1374675305726516E-3</v>
      </c>
      <c r="S27" s="19">
        <f t="shared" si="1"/>
        <v>8.8940426303367737E-3</v>
      </c>
      <c r="T27" s="19">
        <f t="shared" si="1"/>
        <v>8.6563190255165567E-3</v>
      </c>
      <c r="U27" s="20">
        <f t="shared" si="1"/>
        <v>8.4241863993457233E-3</v>
      </c>
    </row>
    <row r="28" spans="2:21" x14ac:dyDescent="0.15">
      <c r="B28" s="254"/>
      <c r="G28" s="29"/>
      <c r="H28" s="29"/>
      <c r="K28" s="9">
        <v>2.4</v>
      </c>
      <c r="L28" s="18">
        <f t="shared" si="1"/>
        <v>8.1975359245961554E-3</v>
      </c>
      <c r="M28" s="19">
        <f t="shared" si="1"/>
        <v>7.9762602607337252E-3</v>
      </c>
      <c r="N28" s="19">
        <f t="shared" si="1"/>
        <v>7.760253550553653E-3</v>
      </c>
      <c r="O28" s="19">
        <f t="shared" si="1"/>
        <v>7.5494114163091597E-3</v>
      </c>
      <c r="P28" s="19">
        <f t="shared" si="1"/>
        <v>7.3436309553482904E-3</v>
      </c>
      <c r="Q28" s="19">
        <f t="shared" si="1"/>
        <v>7.1428107352714543E-3</v>
      </c>
      <c r="R28" s="19">
        <f t="shared" si="1"/>
        <v>6.9468507886243369E-3</v>
      </c>
      <c r="S28" s="19">
        <f t="shared" si="1"/>
        <v>6.7556526071406164E-3</v>
      </c>
      <c r="T28" s="19">
        <f t="shared" si="1"/>
        <v>6.5691191355468082E-3</v>
      </c>
      <c r="U28" s="20">
        <f t="shared" si="1"/>
        <v>6.3871547649432259E-3</v>
      </c>
    </row>
    <row r="29" spans="2:21" x14ac:dyDescent="0.15">
      <c r="B29" s="254"/>
      <c r="G29" s="6" t="s">
        <v>118</v>
      </c>
      <c r="H29" s="7">
        <v>2</v>
      </c>
      <c r="K29" s="9">
        <v>2.5</v>
      </c>
      <c r="L29" s="18">
        <f t="shared" si="1"/>
        <v>6.2096653257761592E-3</v>
      </c>
      <c r="M29" s="19">
        <f t="shared" si="1"/>
        <v>6.0365580804127017E-3</v>
      </c>
      <c r="N29" s="19">
        <f t="shared" si="1"/>
        <v>5.8677417153325528E-3</v>
      </c>
      <c r="O29" s="19">
        <f t="shared" si="1"/>
        <v>5.7031263329506698E-3</v>
      </c>
      <c r="P29" s="19">
        <f t="shared" si="1"/>
        <v>5.5426234430826504E-3</v>
      </c>
      <c r="Q29" s="19">
        <f t="shared" si="1"/>
        <v>5.3861459540667234E-3</v>
      </c>
      <c r="R29" s="19">
        <f t="shared" si="1"/>
        <v>5.2336081635557807E-3</v>
      </c>
      <c r="S29" s="19">
        <f t="shared" si="1"/>
        <v>5.0849257489909983E-3</v>
      </c>
      <c r="T29" s="19">
        <f t="shared" si="1"/>
        <v>4.9400157577705883E-3</v>
      </c>
      <c r="U29" s="20">
        <f t="shared" si="1"/>
        <v>4.7987965971262314E-3</v>
      </c>
    </row>
    <row r="30" spans="2:21" ht="14" thickBot="1" x14ac:dyDescent="0.2">
      <c r="B30" s="254"/>
      <c r="G30" s="10" t="s">
        <v>130</v>
      </c>
      <c r="H30" s="43">
        <v>0.05</v>
      </c>
      <c r="K30" s="9">
        <v>2.6</v>
      </c>
      <c r="L30" s="18">
        <f t="shared" si="1"/>
        <v>4.661188023718732E-3</v>
      </c>
      <c r="M30" s="19">
        <f t="shared" si="1"/>
        <v>4.5271111329673319E-3</v>
      </c>
      <c r="N30" s="19">
        <f t="shared" si="1"/>
        <v>4.3964883481213413E-3</v>
      </c>
      <c r="O30" s="19">
        <f t="shared" si="1"/>
        <v>4.2692434090892961E-3</v>
      </c>
      <c r="P30" s="19">
        <f t="shared" si="1"/>
        <v>4.14530136103608E-3</v>
      </c>
      <c r="Q30" s="19">
        <f t="shared" si="1"/>
        <v>4.0245885427583339E-3</v>
      </c>
      <c r="R30" s="19">
        <f t="shared" si="1"/>
        <v>3.907032574852809E-3</v>
      </c>
      <c r="S30" s="19">
        <f t="shared" si="1"/>
        <v>3.7925623476854353E-3</v>
      </c>
      <c r="T30" s="19">
        <f t="shared" si="1"/>
        <v>3.6811080091749826E-3</v>
      </c>
      <c r="U30" s="20">
        <f t="shared" si="1"/>
        <v>3.5726009523997515E-3</v>
      </c>
    </row>
    <row r="31" spans="2:21" ht="14" thickBot="1" x14ac:dyDescent="0.2">
      <c r="B31" s="254"/>
      <c r="G31" s="44" t="s">
        <v>114</v>
      </c>
      <c r="H31" s="45">
        <f>NORMINV(H30/H29,0,1)*-1</f>
        <v>1.9599639845400538</v>
      </c>
      <c r="K31" s="9">
        <v>2.7</v>
      </c>
      <c r="L31" s="18">
        <f t="shared" si="1"/>
        <v>3.4669738030406183E-3</v>
      </c>
      <c r="M31" s="19">
        <f t="shared" si="1"/>
        <v>3.3641604066692032E-3</v>
      </c>
      <c r="N31" s="19">
        <f t="shared" si="1"/>
        <v>3.2640958158912659E-3</v>
      </c>
      <c r="O31" s="19">
        <f t="shared" si="1"/>
        <v>3.1667162773577617E-3</v>
      </c>
      <c r="P31" s="19">
        <f t="shared" si="1"/>
        <v>3.0719592186504441E-3</v>
      </c>
      <c r="Q31" s="19">
        <f t="shared" si="1"/>
        <v>2.9797632350545555E-3</v>
      </c>
      <c r="R31" s="19">
        <f t="shared" si="1"/>
        <v>2.8900680762261599E-3</v>
      </c>
      <c r="S31" s="19">
        <f t="shared" si="1"/>
        <v>2.8028146327649939E-3</v>
      </c>
      <c r="T31" s="19">
        <f t="shared" si="1"/>
        <v>2.7179449227012764E-3</v>
      </c>
      <c r="U31" s="20">
        <f t="shared" si="1"/>
        <v>2.6354020779049137E-3</v>
      </c>
    </row>
    <row r="32" spans="2:21" x14ac:dyDescent="0.15">
      <c r="B32" s="254"/>
      <c r="K32" s="9">
        <v>2.8</v>
      </c>
      <c r="L32" s="18">
        <f t="shared" si="1"/>
        <v>2.5551303304279793E-3</v>
      </c>
      <c r="M32" s="19">
        <f t="shared" si="1"/>
        <v>2.4770749987859109E-3</v>
      </c>
      <c r="N32" s="19">
        <f t="shared" si="1"/>
        <v>2.4011824741893006E-3</v>
      </c>
      <c r="O32" s="19">
        <f t="shared" si="1"/>
        <v>2.3274002067315003E-3</v>
      </c>
      <c r="P32" s="19">
        <f t="shared" si="1"/>
        <v>2.2556766915423632E-3</v>
      </c>
      <c r="Q32" s="19">
        <f t="shared" si="1"/>
        <v>2.1859614549132322E-3</v>
      </c>
      <c r="R32" s="19">
        <f t="shared" si="1"/>
        <v>2.1182050404046082E-3</v>
      </c>
      <c r="S32" s="19">
        <f t="shared" si="1"/>
        <v>2.0523589949397181E-3</v>
      </c>
      <c r="T32" s="19">
        <f t="shared" si="1"/>
        <v>1.9883758548943087E-3</v>
      </c>
      <c r="U32" s="20">
        <f t="shared" si="1"/>
        <v>1.9262091321878838E-3</v>
      </c>
    </row>
    <row r="33" spans="2:21" x14ac:dyDescent="0.15">
      <c r="B33" s="254"/>
      <c r="G33" s="6" t="s">
        <v>118</v>
      </c>
      <c r="H33" s="7">
        <v>2</v>
      </c>
      <c r="K33" s="9">
        <v>2.9</v>
      </c>
      <c r="L33" s="18">
        <f t="shared" si="1"/>
        <v>1.8658133003840449E-3</v>
      </c>
      <c r="M33" s="19">
        <f t="shared" si="1"/>
        <v>1.8071437808064861E-3</v>
      </c>
      <c r="N33" s="19">
        <f t="shared" si="1"/>
        <v>1.7501569286760832E-3</v>
      </c>
      <c r="O33" s="19">
        <f t="shared" si="1"/>
        <v>1.694810019277293E-3</v>
      </c>
      <c r="P33" s="19">
        <f t="shared" si="1"/>
        <v>1.6410612341569708E-3</v>
      </c>
      <c r="Q33" s="19">
        <f t="shared" si="1"/>
        <v>1.5888696473648212E-3</v>
      </c>
      <c r="R33" s="19">
        <f t="shared" si="1"/>
        <v>1.538195211738036E-3</v>
      </c>
      <c r="S33" s="19">
        <f t="shared" si="1"/>
        <v>1.4889987452374465E-3</v>
      </c>
      <c r="T33" s="19">
        <f t="shared" si="1"/>
        <v>1.4412419173399638E-3</v>
      </c>
      <c r="U33" s="20">
        <f t="shared" si="1"/>
        <v>1.3948872354923036E-3</v>
      </c>
    </row>
    <row r="34" spans="2:21" ht="14" thickBot="1" x14ac:dyDescent="0.2">
      <c r="B34" s="254"/>
      <c r="G34" s="10" t="s">
        <v>114</v>
      </c>
      <c r="H34" s="46">
        <v>1.96</v>
      </c>
      <c r="K34" s="9">
        <v>3</v>
      </c>
      <c r="L34" s="18">
        <f t="shared" si="1"/>
        <v>1.3498980316301035E-3</v>
      </c>
      <c r="M34" s="19">
        <f t="shared" si="1"/>
        <v>1.3062384487694256E-3</v>
      </c>
      <c r="N34" s="19">
        <f t="shared" si="1"/>
        <v>1.2638734276723129E-3</v>
      </c>
      <c r="O34" s="19">
        <f t="shared" si="1"/>
        <v>1.2227686935922799E-3</v>
      </c>
      <c r="P34" s="19">
        <f t="shared" si="1"/>
        <v>1.1828907431044033E-3</v>
      </c>
      <c r="Q34" s="19">
        <f t="shared" si="1"/>
        <v>1.1442068310226761E-3</v>
      </c>
      <c r="R34" s="19">
        <f t="shared" si="1"/>
        <v>1.1066849574092874E-3</v>
      </c>
      <c r="S34" s="19">
        <f t="shared" si="1"/>
        <v>1.0702938546789387E-3</v>
      </c>
      <c r="T34" s="19">
        <f t="shared" si="1"/>
        <v>1.0350029748028566E-3</v>
      </c>
      <c r="U34" s="20">
        <f t="shared" si="1"/>
        <v>1.0007824766140594E-3</v>
      </c>
    </row>
    <row r="35" spans="2:21" ht="14" thickBot="1" x14ac:dyDescent="0.2">
      <c r="B35" s="254"/>
      <c r="G35" s="44" t="s">
        <v>122</v>
      </c>
      <c r="H35" s="45">
        <f>(1-NORMDIST(H34,0,1,1))*H33</f>
        <v>4.9995790296440967E-2</v>
      </c>
      <c r="K35" s="9">
        <v>3.1</v>
      </c>
      <c r="L35" s="18">
        <f t="shared" si="1"/>
        <v>9.6760321321831544E-4</v>
      </c>
      <c r="M35" s="19">
        <f t="shared" si="1"/>
        <v>9.3543671951412666E-4</v>
      </c>
      <c r="N35" s="19">
        <f t="shared" si="1"/>
        <v>9.042551998222903E-4</v>
      </c>
      <c r="O35" s="19">
        <f t="shared" si="1"/>
        <v>8.7403151563159032E-4</v>
      </c>
      <c r="P35" s="19">
        <f t="shared" si="1"/>
        <v>8.447391734586196E-4</v>
      </c>
      <c r="Q35" s="19">
        <f t="shared" si="1"/>
        <v>8.1635231282861653E-4</v>
      </c>
      <c r="R35" s="19">
        <f t="shared" si="1"/>
        <v>7.8884569437553953E-4</v>
      </c>
      <c r="S35" s="19">
        <f t="shared" si="1"/>
        <v>7.6219468806726365E-4</v>
      </c>
      <c r="T35" s="19">
        <f t="shared" si="1"/>
        <v>7.3637526155390098E-4</v>
      </c>
      <c r="U35" s="20">
        <f t="shared" si="1"/>
        <v>7.1136396864535101E-4</v>
      </c>
    </row>
    <row r="36" spans="2:21" x14ac:dyDescent="0.15">
      <c r="B36" s="254"/>
      <c r="K36" s="9">
        <v>3.2</v>
      </c>
      <c r="L36" s="18">
        <f t="shared" si="1"/>
        <v>6.8713793791586042E-4</v>
      </c>
      <c r="M36" s="19">
        <f t="shared" si="1"/>
        <v>6.6367486143992238E-4</v>
      </c>
      <c r="N36" s="19">
        <f t="shared" si="1"/>
        <v>6.4095298366007025E-4</v>
      </c>
      <c r="O36" s="19">
        <f t="shared" si="1"/>
        <v>6.1895109038678786E-4</v>
      </c>
      <c r="P36" s="19">
        <f t="shared" si="1"/>
        <v>5.976484979344221E-4</v>
      </c>
      <c r="Q36" s="19">
        <f t="shared" si="1"/>
        <v>5.7702504239076635E-4</v>
      </c>
      <c r="R36" s="19">
        <f t="shared" si="1"/>
        <v>5.5706106902464469E-4</v>
      </c>
      <c r="S36" s="19">
        <f t="shared" si="1"/>
        <v>5.377374218297204E-4</v>
      </c>
      <c r="T36" s="19">
        <f t="shared" si="1"/>
        <v>5.1903543320697132E-4</v>
      </c>
      <c r="U36" s="20">
        <f t="shared" si="1"/>
        <v>5.0093691378572114E-4</v>
      </c>
    </row>
    <row r="37" spans="2:21" x14ac:dyDescent="0.15">
      <c r="B37" s="254"/>
      <c r="K37" s="9">
        <v>3.3</v>
      </c>
      <c r="L37" s="18">
        <f t="shared" si="1"/>
        <v>4.8342414238378151E-4</v>
      </c>
      <c r="M37" s="19">
        <f t="shared" si="1"/>
        <v>4.6647985610759335E-4</v>
      </c>
      <c r="N37" s="19">
        <f t="shared" si="1"/>
        <v>4.5008724059214522E-4</v>
      </c>
      <c r="O37" s="19">
        <f t="shared" si="1"/>
        <v>4.3422992038166797E-4</v>
      </c>
      <c r="P37" s="19">
        <f t="shared" si="1"/>
        <v>4.1889194945032848E-4</v>
      </c>
      <c r="Q37" s="19">
        <f t="shared" si="1"/>
        <v>4.0405780186403284E-4</v>
      </c>
      <c r="R37" s="19">
        <f t="shared" si="1"/>
        <v>3.8971236258200648E-4</v>
      </c>
      <c r="S37" s="19">
        <f t="shared" si="1"/>
        <v>3.7584091840003886E-4</v>
      </c>
      <c r="T37" s="19">
        <f t="shared" si="1"/>
        <v>3.6242914903306112E-4</v>
      </c>
      <c r="U37" s="20">
        <f t="shared" si="1"/>
        <v>3.4946311833794486E-4</v>
      </c>
    </row>
    <row r="38" spans="2:21" x14ac:dyDescent="0.15">
      <c r="B38" s="254"/>
      <c r="K38" s="9">
        <v>3.4</v>
      </c>
      <c r="L38" s="18">
        <f t="shared" si="1"/>
        <v>3.3692926567685522E-4</v>
      </c>
      <c r="M38" s="19">
        <f t="shared" si="1"/>
        <v>3.2481439741882667E-4</v>
      </c>
      <c r="N38" s="19">
        <f t="shared" si="1"/>
        <v>3.1310567858122695E-4</v>
      </c>
      <c r="O38" s="19">
        <f t="shared" si="1"/>
        <v>3.0179062460866657E-4</v>
      </c>
      <c r="P38" s="19">
        <f t="shared" si="1"/>
        <v>2.9085709329079723E-4</v>
      </c>
      <c r="Q38" s="19">
        <f t="shared" si="1"/>
        <v>2.8029327681622362E-4</v>
      </c>
      <c r="R38" s="19">
        <f t="shared" si="1"/>
        <v>2.7008769396352772E-4</v>
      </c>
      <c r="S38" s="19">
        <f t="shared" si="1"/>
        <v>2.6022918242751825E-4</v>
      </c>
      <c r="T38" s="19">
        <f t="shared" si="1"/>
        <v>2.5070689128048329E-4</v>
      </c>
      <c r="U38" s="20">
        <f t="shared" si="1"/>
        <v>2.415102735678909E-4</v>
      </c>
    </row>
    <row r="39" spans="2:21" x14ac:dyDescent="0.15">
      <c r="B39" s="254"/>
      <c r="K39" s="9">
        <v>3.5</v>
      </c>
      <c r="L39" s="18">
        <f t="shared" si="1"/>
        <v>2.3262907903554009E-4</v>
      </c>
      <c r="M39" s="19">
        <f t="shared" si="1"/>
        <v>2.2405334699104884E-4</v>
      </c>
      <c r="N39" s="19">
        <f t="shared" si="1"/>
        <v>2.1577339929468309E-4</v>
      </c>
      <c r="O39" s="19">
        <f t="shared" si="1"/>
        <v>2.0777983348063689E-4</v>
      </c>
      <c r="P39" s="19">
        <f t="shared" si="1"/>
        <v>2.0006351600732053E-4</v>
      </c>
      <c r="Q39" s="19">
        <f t="shared" si="1"/>
        <v>1.9261557563565734E-4</v>
      </c>
      <c r="R39" s="19">
        <f t="shared" si="1"/>
        <v>1.8542739693327981E-4</v>
      </c>
      <c r="S39" s="19">
        <f t="shared" si="1"/>
        <v>1.78490613904847E-4</v>
      </c>
      <c r="T39" s="19">
        <f t="shared" si="1"/>
        <v>1.7179710374592982E-4</v>
      </c>
      <c r="U39" s="20">
        <f t="shared" si="1"/>
        <v>1.6533898072013109E-4</v>
      </c>
    </row>
    <row r="40" spans="2:21" x14ac:dyDescent="0.15">
      <c r="B40" s="254"/>
      <c r="K40" s="9">
        <v>3.6</v>
      </c>
      <c r="L40" s="18">
        <f t="shared" si="1"/>
        <v>1.5910859015755285E-4</v>
      </c>
      <c r="M40" s="19">
        <f t="shared" si="1"/>
        <v>1.5309850257372304E-4</v>
      </c>
      <c r="N40" s="19">
        <f t="shared" si="1"/>
        <v>1.4730150790742691E-4</v>
      </c>
      <c r="O40" s="19">
        <f t="shared" si="1"/>
        <v>1.417106098757781E-4</v>
      </c>
      <c r="P40" s="19">
        <f t="shared" si="1"/>
        <v>1.3631902044575206E-4</v>
      </c>
      <c r="Q40" s="19">
        <f t="shared" si="1"/>
        <v>1.311201544205165E-4</v>
      </c>
      <c r="R40" s="19">
        <f t="shared" si="1"/>
        <v>1.2610762413844956E-4</v>
      </c>
      <c r="S40" s="19">
        <f t="shared" si="1"/>
        <v>1.2127523428540066E-4</v>
      </c>
      <c r="T40" s="19">
        <f t="shared" si="1"/>
        <v>1.1661697681542016E-4</v>
      </c>
      <c r="U40" s="20">
        <f t="shared" si="1"/>
        <v>1.121270259822893E-4</v>
      </c>
    </row>
    <row r="41" spans="2:21" x14ac:dyDescent="0.15">
      <c r="B41" s="254"/>
      <c r="K41" s="9">
        <v>3.7</v>
      </c>
      <c r="L41" s="18">
        <f t="shared" si="1"/>
        <v>1.0779973347740945E-4</v>
      </c>
      <c r="M41" s="19">
        <f t="shared" si="1"/>
        <v>1.0362962367405082E-4</v>
      </c>
      <c r="N41" s="19">
        <f t="shared" si="1"/>
        <v>9.9611388975962001E-5</v>
      </c>
      <c r="O41" s="19">
        <f t="shared" si="1"/>
        <v>9.5739885268897318E-5</v>
      </c>
      <c r="P41" s="19">
        <f t="shared" si="1"/>
        <v>9.2010127474062564E-5</v>
      </c>
      <c r="Q41" s="19">
        <f t="shared" si="1"/>
        <v>8.841728520081471E-5</v>
      </c>
      <c r="R41" s="19">
        <f t="shared" si="1"/>
        <v>8.4956678497949412E-5</v>
      </c>
      <c r="S41" s="19">
        <f t="shared" si="1"/>
        <v>8.162377370268814E-5</v>
      </c>
      <c r="T41" s="19">
        <f t="shared" si="1"/>
        <v>7.8414179383590188E-5</v>
      </c>
      <c r="U41" s="20">
        <f t="shared" si="1"/>
        <v>7.53236423787218E-5</v>
      </c>
    </row>
    <row r="42" spans="2:21" x14ac:dyDescent="0.15">
      <c r="B42" s="254"/>
      <c r="K42" s="9">
        <v>3.8</v>
      </c>
      <c r="L42" s="18">
        <f t="shared" si="1"/>
        <v>7.2348043925085648E-5</v>
      </c>
      <c r="M42" s="19">
        <f t="shared" si="1"/>
        <v>6.9483395879865739E-5</v>
      </c>
      <c r="N42" s="19">
        <f t="shared" si="1"/>
        <v>6.672583702971302E-5</v>
      </c>
      <c r="O42" s="19">
        <f t="shared" si="1"/>
        <v>6.4071629488848814E-5</v>
      </c>
      <c r="P42" s="19">
        <f t="shared" si="1"/>
        <v>6.1517155183210548E-5</v>
      </c>
      <c r="Q42" s="19">
        <f t="shared" si="1"/>
        <v>5.905891241897443E-5</v>
      </c>
      <c r="R42" s="19">
        <f t="shared" si="1"/>
        <v>5.6693512534233825E-5</v>
      </c>
      <c r="S42" s="19">
        <f t="shared" si="1"/>
        <v>5.4417676633722323E-5</v>
      </c>
      <c r="T42" s="19">
        <f t="shared" si="1"/>
        <v>5.2228232401807517E-5</v>
      </c>
      <c r="U42" s="20">
        <f t="shared" si="1"/>
        <v>5.012211099619801E-5</v>
      </c>
    </row>
    <row r="43" spans="2:21" x14ac:dyDescent="0.15">
      <c r="B43" s="254"/>
      <c r="K43" s="9">
        <v>3.9</v>
      </c>
      <c r="L43" s="18">
        <f t="shared" si="1"/>
        <v>4.8096344017589665E-5</v>
      </c>
      <c r="M43" s="19">
        <f t="shared" si="1"/>
        <v>4.6148060556250314E-5</v>
      </c>
      <c r="N43" s="19">
        <f t="shared" si="1"/>
        <v>4.4274484312101237E-5</v>
      </c>
      <c r="O43" s="19">
        <f t="shared" si="1"/>
        <v>4.2472930788739482E-5</v>
      </c>
      <c r="P43" s="19">
        <f t="shared" si="1"/>
        <v>4.0740804558514476E-5</v>
      </c>
      <c r="Q43" s="19">
        <f t="shared" si="1"/>
        <v>3.9075596597770712E-5</v>
      </c>
      <c r="R43" s="19">
        <f t="shared" si="1"/>
        <v>3.74748816910353E-5</v>
      </c>
      <c r="S43" s="19">
        <f t="shared" si="1"/>
        <v>3.5936315902818095E-5</v>
      </c>
      <c r="T43" s="19">
        <f t="shared" si="1"/>
        <v>3.4457634115026003E-5</v>
      </c>
      <c r="U43" s="20">
        <f t="shared" si="1"/>
        <v>3.3036647629436366E-5</v>
      </c>
    </row>
    <row r="44" spans="2:21" ht="14" thickBot="1" x14ac:dyDescent="0.2">
      <c r="K44" s="9">
        <v>4</v>
      </c>
      <c r="L44" s="47">
        <f>1-NORMDIST(($K44+L$3),0,1,1)</f>
        <v>3.1671241833119979E-5</v>
      </c>
      <c r="M44" s="48"/>
      <c r="N44" s="48"/>
      <c r="O44" s="48"/>
      <c r="P44" s="48"/>
      <c r="Q44" s="48"/>
      <c r="R44" s="48"/>
      <c r="S44" s="48"/>
      <c r="T44" s="48"/>
      <c r="U44" s="49"/>
    </row>
    <row r="45" spans="2:21" x14ac:dyDescent="0.15">
      <c r="K45" s="50"/>
    </row>
    <row r="46" spans="2:21" x14ac:dyDescent="0.15">
      <c r="K46" s="50"/>
    </row>
    <row r="47" spans="2:21" x14ac:dyDescent="0.15">
      <c r="K47" s="50"/>
    </row>
    <row r="48" spans="2:21" x14ac:dyDescent="0.15">
      <c r="K48" s="50"/>
    </row>
    <row r="49" spans="11:11" x14ac:dyDescent="0.15">
      <c r="K49" s="50"/>
    </row>
    <row r="50" spans="11:11" x14ac:dyDescent="0.15">
      <c r="K50" s="50"/>
    </row>
    <row r="51" spans="11:11" x14ac:dyDescent="0.15">
      <c r="K51" s="50"/>
    </row>
    <row r="52" spans="11:11" x14ac:dyDescent="0.15">
      <c r="K52" s="50"/>
    </row>
    <row r="53" spans="11:11" x14ac:dyDescent="0.15">
      <c r="K53" s="50"/>
    </row>
    <row r="54" spans="11:11" x14ac:dyDescent="0.15">
      <c r="K54" s="50"/>
    </row>
    <row r="55" spans="11:11" x14ac:dyDescent="0.15">
      <c r="K55" s="50"/>
    </row>
  </sheetData>
  <sortState xmlns:xlrd2="http://schemas.microsoft.com/office/spreadsheetml/2017/richdata2" ref="B4:C23">
    <sortCondition ref="C4:C23"/>
  </sortState>
  <mergeCells count="6">
    <mergeCell ref="G1:I1"/>
    <mergeCell ref="G27:I27"/>
    <mergeCell ref="D7:E7"/>
    <mergeCell ref="G14:I14"/>
    <mergeCell ref="K1:U1"/>
    <mergeCell ref="B1:E1"/>
  </mergeCells>
  <phoneticPr fontId="4" type="noConversion"/>
  <pageMargins left="0.75" right="0.75" top="1" bottom="1" header="0.5" footer="0.5"/>
  <pageSetup scale="90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9"/>
  <sheetViews>
    <sheetView workbookViewId="0"/>
  </sheetViews>
  <sheetFormatPr baseColWidth="10" defaultColWidth="8.83203125" defaultRowHeight="13" x14ac:dyDescent="0.15"/>
  <cols>
    <col min="1" max="1" width="1.6640625" style="85" customWidth="1"/>
    <col min="2" max="16384" width="8.83203125" style="85"/>
  </cols>
  <sheetData>
    <row r="1" spans="2:8" ht="14" thickBot="1" x14ac:dyDescent="0.2">
      <c r="B1" s="268" t="s">
        <v>24</v>
      </c>
      <c r="C1" s="268"/>
      <c r="D1" s="268"/>
      <c r="F1" s="268" t="s">
        <v>28</v>
      </c>
      <c r="G1" s="268"/>
      <c r="H1" s="58"/>
    </row>
    <row r="2" spans="2:8" x14ac:dyDescent="0.15">
      <c r="B2" s="3"/>
      <c r="F2" s="58"/>
      <c r="G2" s="58"/>
      <c r="H2" s="58"/>
    </row>
    <row r="3" spans="2:8" ht="14" x14ac:dyDescent="0.15">
      <c r="B3" s="273" t="s">
        <v>36</v>
      </c>
      <c r="C3" s="273"/>
      <c r="D3" s="273"/>
      <c r="F3" s="86">
        <v>0.2</v>
      </c>
      <c r="G3" s="87" t="s">
        <v>25</v>
      </c>
    </row>
    <row r="4" spans="2:8" x14ac:dyDescent="0.15">
      <c r="B4" s="6" t="s">
        <v>120</v>
      </c>
      <c r="C4" s="88">
        <v>5.75</v>
      </c>
      <c r="D4" s="3"/>
      <c r="F4" s="59">
        <v>0.5</v>
      </c>
      <c r="G4" s="22" t="s">
        <v>26</v>
      </c>
    </row>
    <row r="5" spans="2:8" ht="14" x14ac:dyDescent="0.15">
      <c r="B5" s="10" t="s">
        <v>124</v>
      </c>
      <c r="C5" s="89">
        <v>5</v>
      </c>
      <c r="D5" s="3"/>
      <c r="F5" s="59">
        <v>0.8</v>
      </c>
      <c r="G5" s="22" t="s">
        <v>27</v>
      </c>
    </row>
    <row r="6" spans="2:8" ht="15" thickBot="1" x14ac:dyDescent="0.2">
      <c r="B6" s="10" t="s">
        <v>161</v>
      </c>
      <c r="C6" s="89">
        <v>2</v>
      </c>
      <c r="F6" s="3"/>
    </row>
    <row r="7" spans="2:8" ht="14" thickBot="1" x14ac:dyDescent="0.2">
      <c r="B7" s="44" t="s">
        <v>123</v>
      </c>
      <c r="C7" s="24">
        <f>(C4-C5)/C6</f>
        <v>0.375</v>
      </c>
    </row>
    <row r="8" spans="2:8" x14ac:dyDescent="0.15">
      <c r="C8" s="3"/>
    </row>
    <row r="9" spans="2:8" x14ac:dyDescent="0.15">
      <c r="B9" s="90" t="s">
        <v>37</v>
      </c>
      <c r="C9" s="91"/>
    </row>
    <row r="10" spans="2:8" x14ac:dyDescent="0.15">
      <c r="B10" s="6" t="s">
        <v>151</v>
      </c>
      <c r="C10" s="88">
        <v>60</v>
      </c>
      <c r="D10" s="3"/>
    </row>
    <row r="11" spans="2:8" x14ac:dyDescent="0.15">
      <c r="B11" s="10" t="s">
        <v>152</v>
      </c>
      <c r="C11" s="89">
        <v>12</v>
      </c>
      <c r="D11" s="3"/>
    </row>
    <row r="12" spans="2:8" x14ac:dyDescent="0.15">
      <c r="B12" s="10" t="s">
        <v>150</v>
      </c>
      <c r="C12" s="89">
        <v>20</v>
      </c>
      <c r="D12" s="3"/>
    </row>
    <row r="13" spans="2:8" x14ac:dyDescent="0.15">
      <c r="B13" s="10" t="s">
        <v>154</v>
      </c>
      <c r="C13" s="89">
        <v>50</v>
      </c>
      <c r="D13" s="3"/>
    </row>
    <row r="14" spans="2:8" x14ac:dyDescent="0.15">
      <c r="B14" s="10" t="s">
        <v>155</v>
      </c>
      <c r="C14" s="89">
        <v>8</v>
      </c>
    </row>
    <row r="15" spans="2:8" ht="14" thickBot="1" x14ac:dyDescent="0.2">
      <c r="B15" s="10" t="s">
        <v>153</v>
      </c>
      <c r="C15" s="89">
        <v>40</v>
      </c>
    </row>
    <row r="16" spans="2:8" ht="14" thickBot="1" x14ac:dyDescent="0.2">
      <c r="B16" s="44" t="s">
        <v>123</v>
      </c>
      <c r="C16" s="24">
        <f>(C10-C13)/C17</f>
        <v>1.0528830377261751</v>
      </c>
    </row>
    <row r="17" spans="2:7" x14ac:dyDescent="0.15">
      <c r="B17" s="53" t="s">
        <v>225</v>
      </c>
      <c r="C17" s="79">
        <f>SQRT(((C12-1)*C11^2+(C15-1)*C14^2)/(C12+C15-2))</f>
        <v>9.497731126523016</v>
      </c>
    </row>
    <row r="19" spans="2:7" x14ac:dyDescent="0.15">
      <c r="B19" s="90" t="s">
        <v>38</v>
      </c>
      <c r="C19" s="91"/>
    </row>
    <row r="20" spans="2:7" x14ac:dyDescent="0.15">
      <c r="B20" s="6" t="s">
        <v>151</v>
      </c>
      <c r="C20" s="88">
        <v>60</v>
      </c>
      <c r="D20" s="3"/>
    </row>
    <row r="21" spans="2:7" x14ac:dyDescent="0.15">
      <c r="B21" s="10" t="s">
        <v>152</v>
      </c>
      <c r="C21" s="89">
        <v>12</v>
      </c>
      <c r="D21" s="3"/>
    </row>
    <row r="22" spans="2:7" x14ac:dyDescent="0.15">
      <c r="B22" s="10" t="s">
        <v>154</v>
      </c>
      <c r="C22" s="89">
        <v>50</v>
      </c>
      <c r="D22" s="3"/>
    </row>
    <row r="23" spans="2:7" ht="14" thickBot="1" x14ac:dyDescent="0.2">
      <c r="B23" s="10" t="s">
        <v>155</v>
      </c>
      <c r="C23" s="89">
        <v>8</v>
      </c>
      <c r="D23" s="3"/>
    </row>
    <row r="24" spans="2:7" ht="14" thickBot="1" x14ac:dyDescent="0.2">
      <c r="B24" s="44" t="s">
        <v>123</v>
      </c>
      <c r="C24" s="24">
        <f>(C20-C22)/C25</f>
        <v>0.98058067569092022</v>
      </c>
    </row>
    <row r="25" spans="2:7" x14ac:dyDescent="0.15">
      <c r="B25" s="53" t="s">
        <v>225</v>
      </c>
      <c r="C25" s="79">
        <f>SQRT((C21^2+C23^2)/2)</f>
        <v>10.198039027185569</v>
      </c>
    </row>
    <row r="27" spans="2:7" x14ac:dyDescent="0.15">
      <c r="E27" s="92"/>
      <c r="F27" s="92"/>
      <c r="G27" s="92"/>
    </row>
    <row r="28" spans="2:7" x14ac:dyDescent="0.15">
      <c r="E28" s="92"/>
      <c r="F28" s="92"/>
      <c r="G28" s="92"/>
    </row>
    <row r="29" spans="2:7" x14ac:dyDescent="0.15">
      <c r="E29" s="92"/>
      <c r="F29" s="92"/>
      <c r="G29" s="92"/>
    </row>
  </sheetData>
  <mergeCells count="3">
    <mergeCell ref="F1:G1"/>
    <mergeCell ref="B1:D1"/>
    <mergeCell ref="B3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4"/>
  <sheetViews>
    <sheetView workbookViewId="0"/>
  </sheetViews>
  <sheetFormatPr baseColWidth="10" defaultColWidth="8.83203125" defaultRowHeight="13" x14ac:dyDescent="0.15"/>
  <cols>
    <col min="1" max="1" width="1.6640625" style="85" customWidth="1"/>
    <col min="2" max="16384" width="8.83203125" style="85"/>
  </cols>
  <sheetData>
    <row r="1" spans="2:8" ht="14" thickBot="1" x14ac:dyDescent="0.2">
      <c r="B1" s="268" t="s">
        <v>64</v>
      </c>
      <c r="C1" s="268"/>
      <c r="D1" s="268"/>
      <c r="F1" s="268" t="s">
        <v>65</v>
      </c>
      <c r="G1" s="268"/>
      <c r="H1" s="268"/>
    </row>
    <row r="3" spans="2:8" x14ac:dyDescent="0.15">
      <c r="B3" s="6" t="s">
        <v>120</v>
      </c>
      <c r="C3" s="93">
        <v>5.75</v>
      </c>
      <c r="F3" s="6" t="s">
        <v>120</v>
      </c>
      <c r="G3" s="93">
        <v>46</v>
      </c>
    </row>
    <row r="4" spans="2:8" ht="14" x14ac:dyDescent="0.15">
      <c r="B4" s="10" t="s">
        <v>124</v>
      </c>
      <c r="C4" s="94">
        <v>5</v>
      </c>
      <c r="F4" s="10" t="s">
        <v>124</v>
      </c>
      <c r="G4" s="94">
        <v>50</v>
      </c>
    </row>
    <row r="5" spans="2:8" ht="14" x14ac:dyDescent="0.15">
      <c r="B5" s="10" t="s">
        <v>125</v>
      </c>
      <c r="C5" s="94">
        <v>2</v>
      </c>
      <c r="F5" s="10" t="s">
        <v>121</v>
      </c>
      <c r="G5" s="94">
        <v>2.08</v>
      </c>
    </row>
    <row r="6" spans="2:8" x14ac:dyDescent="0.15">
      <c r="B6" s="95" t="s">
        <v>118</v>
      </c>
      <c r="C6" s="94">
        <v>2</v>
      </c>
      <c r="F6" s="95" t="s">
        <v>118</v>
      </c>
      <c r="G6" s="94">
        <v>2</v>
      </c>
    </row>
    <row r="7" spans="2:8" ht="14" x14ac:dyDescent="0.15">
      <c r="B7" s="10" t="s">
        <v>162</v>
      </c>
      <c r="C7" s="96">
        <v>0.05</v>
      </c>
      <c r="F7" s="10" t="s">
        <v>162</v>
      </c>
      <c r="G7" s="96">
        <v>0.05</v>
      </c>
    </row>
    <row r="8" spans="2:8" ht="14" thickBot="1" x14ac:dyDescent="0.2">
      <c r="B8" s="10" t="s">
        <v>119</v>
      </c>
      <c r="C8" s="97">
        <v>16</v>
      </c>
      <c r="F8" s="16" t="s">
        <v>119</v>
      </c>
      <c r="G8" s="98">
        <v>16</v>
      </c>
    </row>
    <row r="9" spans="2:8" ht="14" thickBot="1" x14ac:dyDescent="0.2">
      <c r="B9" s="44" t="s">
        <v>163</v>
      </c>
      <c r="C9" s="45">
        <f>1-NORMDIST((C4+C13*C12),C3,C12,TRUE)+(C6=2)*(NORMDIST((C4-C13*C12),C3,C12,TRUE))</f>
        <v>0.32304115977680525</v>
      </c>
      <c r="F9" s="32" t="s">
        <v>163</v>
      </c>
      <c r="G9" s="99">
        <f>_xlfn.T.DIST.RT(((G4+G12*G13-G3)/G12),G14)+(G6=2)*_xlfn.T.DIST(((G4-G12*G13-G3)/G12),G14,TRUE)</f>
        <v>0.99997278835374692</v>
      </c>
    </row>
    <row r="10" spans="2:8" x14ac:dyDescent="0.15">
      <c r="B10" s="21"/>
      <c r="C10" s="100"/>
    </row>
    <row r="11" spans="2:8" x14ac:dyDescent="0.15">
      <c r="B11" s="53" t="s">
        <v>123</v>
      </c>
      <c r="C11" s="79">
        <f>(C3 - C4) / C5</f>
        <v>0.375</v>
      </c>
      <c r="F11" s="53" t="s">
        <v>123</v>
      </c>
      <c r="G11" s="79">
        <f>(G3 - G4) / G5</f>
        <v>-1.9230769230769229</v>
      </c>
    </row>
    <row r="12" spans="2:8" ht="14" x14ac:dyDescent="0.15">
      <c r="B12" s="53" t="s">
        <v>164</v>
      </c>
      <c r="C12" s="79">
        <f>C5/SQRT(C8)</f>
        <v>0.5</v>
      </c>
      <c r="F12" s="53" t="s">
        <v>224</v>
      </c>
      <c r="G12" s="79">
        <f>G5/SQRT(G8)</f>
        <v>0.52</v>
      </c>
    </row>
    <row r="13" spans="2:8" x14ac:dyDescent="0.15">
      <c r="B13" s="53" t="s">
        <v>165</v>
      </c>
      <c r="C13" s="79">
        <f>NORMINV(C7/C6,0,1)*-1</f>
        <v>1.9599639845400538</v>
      </c>
      <c r="F13" s="53" t="s">
        <v>166</v>
      </c>
      <c r="G13" s="79">
        <f>TINV(G7*(3-G6),G14)</f>
        <v>2.1314495455597742</v>
      </c>
    </row>
    <row r="14" spans="2:8" x14ac:dyDescent="0.15">
      <c r="F14" s="53" t="s">
        <v>157</v>
      </c>
      <c r="G14" s="101">
        <f>G8-1</f>
        <v>15</v>
      </c>
    </row>
  </sheetData>
  <mergeCells count="2">
    <mergeCell ref="F1:H1"/>
    <mergeCell ref="B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55"/>
  <sheetViews>
    <sheetView workbookViewId="0"/>
  </sheetViews>
  <sheetFormatPr baseColWidth="10" defaultColWidth="8.83203125" defaultRowHeight="13" x14ac:dyDescent="0.15"/>
  <cols>
    <col min="1" max="1" width="1.6640625" style="3" customWidth="1"/>
    <col min="2" max="2" width="8.83203125" style="4"/>
    <col min="3" max="5" width="8.83203125" style="3"/>
    <col min="6" max="12" width="8.83203125" style="258"/>
    <col min="13" max="13" width="8.83203125" style="3"/>
    <col min="14" max="15" width="8.83203125" style="4"/>
    <col min="16" max="22" width="8.83203125" style="3"/>
    <col min="23" max="23" width="9.1640625" style="3" customWidth="1"/>
    <col min="24" max="24" width="5.5" style="3" customWidth="1"/>
    <col min="25" max="27" width="8.83203125" style="3"/>
    <col min="28" max="28" width="2.83203125" style="3" customWidth="1"/>
    <col min="29" max="29" width="5.5" style="3" customWidth="1"/>
    <col min="30" max="16384" width="8.83203125" style="3"/>
  </cols>
  <sheetData>
    <row r="1" spans="2:32" ht="14" thickBot="1" x14ac:dyDescent="0.2">
      <c r="B1" s="268" t="s">
        <v>14</v>
      </c>
      <c r="C1" s="268"/>
      <c r="D1" s="268"/>
      <c r="E1" s="268"/>
      <c r="F1" s="2"/>
      <c r="G1" s="268" t="s">
        <v>18</v>
      </c>
      <c r="H1" s="268"/>
      <c r="I1" s="268"/>
      <c r="J1" s="268"/>
      <c r="K1" s="268"/>
      <c r="L1" s="268"/>
      <c r="M1" s="50"/>
      <c r="N1" s="268" t="s">
        <v>15</v>
      </c>
      <c r="O1" s="268"/>
      <c r="P1" s="268"/>
      <c r="Q1" s="268"/>
      <c r="R1" s="268"/>
      <c r="S1" s="2"/>
      <c r="T1" s="268" t="s">
        <v>30</v>
      </c>
      <c r="U1" s="268"/>
      <c r="V1" s="268"/>
      <c r="X1" s="268" t="s">
        <v>5</v>
      </c>
      <c r="Y1" s="272"/>
      <c r="Z1" s="272"/>
      <c r="AA1" s="272"/>
      <c r="AB1" s="272"/>
      <c r="AC1" s="272"/>
      <c r="AD1" s="272"/>
      <c r="AE1" s="272"/>
      <c r="AF1" s="272"/>
    </row>
    <row r="2" spans="2:32" x14ac:dyDescent="0.15">
      <c r="B2" s="3"/>
      <c r="G2" s="3"/>
      <c r="H2" s="3"/>
      <c r="I2" s="3"/>
      <c r="J2" s="3"/>
      <c r="K2" s="3"/>
      <c r="L2" s="3"/>
      <c r="N2" s="3"/>
      <c r="O2" s="3"/>
      <c r="AB2" s="4"/>
    </row>
    <row r="3" spans="2:32" x14ac:dyDescent="0.15">
      <c r="B3" s="5" t="s">
        <v>9</v>
      </c>
      <c r="D3" s="6" t="s">
        <v>116</v>
      </c>
      <c r="E3" s="7">
        <v>50</v>
      </c>
      <c r="F3" s="12"/>
      <c r="G3" s="274" t="s">
        <v>9</v>
      </c>
      <c r="H3" s="275"/>
      <c r="I3" s="8"/>
      <c r="J3" s="3"/>
      <c r="K3" s="6" t="s">
        <v>158</v>
      </c>
      <c r="L3" s="7">
        <v>0</v>
      </c>
      <c r="M3" s="8"/>
      <c r="N3" s="274" t="s">
        <v>9</v>
      </c>
      <c r="O3" s="275"/>
      <c r="Q3" s="6" t="s">
        <v>149</v>
      </c>
      <c r="R3" s="7">
        <v>0</v>
      </c>
      <c r="S3" s="2"/>
      <c r="T3" s="6" t="s">
        <v>118</v>
      </c>
      <c r="U3" s="7">
        <v>2</v>
      </c>
      <c r="Z3" s="50" t="s">
        <v>3</v>
      </c>
      <c r="AE3" s="50" t="s">
        <v>4</v>
      </c>
    </row>
    <row r="4" spans="2:32" ht="14" thickBot="1" x14ac:dyDescent="0.2">
      <c r="B4" s="4">
        <v>45</v>
      </c>
      <c r="D4" s="16" t="s">
        <v>118</v>
      </c>
      <c r="E4" s="17">
        <v>2</v>
      </c>
      <c r="F4" s="12"/>
      <c r="G4" s="65" t="s">
        <v>20</v>
      </c>
      <c r="H4" s="66" t="s">
        <v>21</v>
      </c>
      <c r="I4" s="50" t="s">
        <v>19</v>
      </c>
      <c r="J4" s="3"/>
      <c r="K4" s="16" t="s">
        <v>118</v>
      </c>
      <c r="L4" s="17">
        <v>2</v>
      </c>
      <c r="M4" s="22"/>
      <c r="N4" s="65" t="s">
        <v>16</v>
      </c>
      <c r="O4" s="66" t="s">
        <v>17</v>
      </c>
      <c r="Q4" s="16" t="s">
        <v>118</v>
      </c>
      <c r="R4" s="17">
        <v>2</v>
      </c>
      <c r="S4" s="12"/>
      <c r="T4" s="10" t="s">
        <v>157</v>
      </c>
      <c r="U4" s="11">
        <v>9</v>
      </c>
      <c r="X4" s="67" t="s">
        <v>2</v>
      </c>
      <c r="Y4" s="68" t="s">
        <v>33</v>
      </c>
      <c r="Z4" s="68" t="s">
        <v>34</v>
      </c>
      <c r="AA4" s="68" t="s">
        <v>35</v>
      </c>
      <c r="AC4" s="67" t="s">
        <v>2</v>
      </c>
      <c r="AD4" s="68" t="s">
        <v>33</v>
      </c>
      <c r="AE4" s="68" t="s">
        <v>34</v>
      </c>
      <c r="AF4" s="68" t="s">
        <v>35</v>
      </c>
    </row>
    <row r="5" spans="2:32" ht="14" thickBot="1" x14ac:dyDescent="0.2">
      <c r="B5" s="4">
        <v>48</v>
      </c>
      <c r="D5" s="21"/>
      <c r="E5" s="22"/>
      <c r="F5" s="22"/>
      <c r="G5" s="255">
        <v>540</v>
      </c>
      <c r="H5" s="255">
        <v>590</v>
      </c>
      <c r="I5" s="4">
        <f>G5-H5</f>
        <v>-50</v>
      </c>
      <c r="J5" s="3"/>
      <c r="K5" s="21"/>
      <c r="L5" s="22"/>
      <c r="M5" s="22"/>
      <c r="N5" s="255">
        <v>540</v>
      </c>
      <c r="O5" s="255">
        <v>590</v>
      </c>
      <c r="Q5" s="21"/>
      <c r="R5" s="22"/>
      <c r="S5" s="12"/>
      <c r="T5" s="10" t="s">
        <v>130</v>
      </c>
      <c r="U5" s="43">
        <v>0.05</v>
      </c>
      <c r="X5" s="50">
        <v>1</v>
      </c>
      <c r="Y5" s="69">
        <f>TINV(0.05,$X5)</f>
        <v>12.706204736174707</v>
      </c>
      <c r="Z5" s="70">
        <f>TINV(0.01,$X5)</f>
        <v>63.656741162871583</v>
      </c>
      <c r="AA5" s="71">
        <f>TINV(0.001,$X5)</f>
        <v>636.61924876871956</v>
      </c>
      <c r="AC5" s="50">
        <v>1</v>
      </c>
      <c r="AD5" s="69">
        <f>TINV(0.1,$X5)</f>
        <v>6.3137515146750438</v>
      </c>
      <c r="AE5" s="70">
        <f>TINV(0.02,$X5)</f>
        <v>31.820515953773956</v>
      </c>
      <c r="AF5" s="71">
        <f>TINV(0.002,$X5)</f>
        <v>318.30883898555044</v>
      </c>
    </row>
    <row r="6" spans="2:32" ht="14" thickBot="1" x14ac:dyDescent="0.2">
      <c r="B6" s="4">
        <v>43</v>
      </c>
      <c r="D6" s="266" t="s">
        <v>13</v>
      </c>
      <c r="E6" s="267"/>
      <c r="F6" s="2"/>
      <c r="G6" s="255">
        <v>630</v>
      </c>
      <c r="H6" s="255">
        <v>620</v>
      </c>
      <c r="I6" s="259">
        <f t="shared" ref="I6:I14" si="0">G6-H6</f>
        <v>10</v>
      </c>
      <c r="J6" s="3"/>
      <c r="K6" s="266" t="s">
        <v>13</v>
      </c>
      <c r="L6" s="267"/>
      <c r="M6" s="22"/>
      <c r="N6" s="255">
        <v>630</v>
      </c>
      <c r="O6" s="255">
        <v>620</v>
      </c>
      <c r="Q6" s="266" t="s">
        <v>13</v>
      </c>
      <c r="R6" s="267"/>
      <c r="S6" s="22"/>
      <c r="T6" s="44" t="s">
        <v>156</v>
      </c>
      <c r="U6" s="45">
        <f>TINV((U5*(3-U3)),U4)</f>
        <v>2.2621571627982053</v>
      </c>
      <c r="X6" s="50">
        <v>2</v>
      </c>
      <c r="Y6" s="72">
        <f t="shared" ref="Y6:Y37" si="1">TINV(0.05,$X6)</f>
        <v>4.3026527297494637</v>
      </c>
      <c r="Z6" s="73">
        <f t="shared" ref="Z6:Z37" si="2">TINV(0.01,$X6)</f>
        <v>9.9248432009182928</v>
      </c>
      <c r="AA6" s="74">
        <f t="shared" ref="AA6:AA37" si="3">TINV(0.001,$X6)</f>
        <v>31.599054576443621</v>
      </c>
      <c r="AC6" s="50">
        <v>2</v>
      </c>
      <c r="AD6" s="72">
        <f t="shared" ref="AD6:AD37" si="4">TINV(0.1,$X6)</f>
        <v>2.9199855803537269</v>
      </c>
      <c r="AE6" s="73">
        <f t="shared" ref="AE6:AE37" si="5">TINV(0.02,$X6)</f>
        <v>6.9645567342832733</v>
      </c>
      <c r="AF6" s="74">
        <f t="shared" ref="AF6:AF37" si="6">TINV(0.002,$X6)</f>
        <v>22.327124770119873</v>
      </c>
    </row>
    <row r="7" spans="2:32" x14ac:dyDescent="0.15">
      <c r="B7" s="4">
        <v>52</v>
      </c>
      <c r="D7" s="55" t="s">
        <v>131</v>
      </c>
      <c r="E7" s="25">
        <f>COUNT(B4:B100000)</f>
        <v>7</v>
      </c>
      <c r="F7" s="257"/>
      <c r="G7" s="255">
        <v>590</v>
      </c>
      <c r="H7" s="255">
        <v>650</v>
      </c>
      <c r="I7" s="259">
        <f t="shared" si="0"/>
        <v>-60</v>
      </c>
      <c r="J7" s="3"/>
      <c r="K7" s="1" t="s">
        <v>119</v>
      </c>
      <c r="L7" s="25">
        <f>COUNT(I4:I100000)</f>
        <v>10</v>
      </c>
      <c r="M7" s="22"/>
      <c r="N7" s="255">
        <v>590</v>
      </c>
      <c r="O7" s="255">
        <v>650</v>
      </c>
      <c r="Q7" s="1" t="s">
        <v>150</v>
      </c>
      <c r="R7" s="25">
        <f>COUNT(N5:N100000)</f>
        <v>10</v>
      </c>
      <c r="S7" s="2"/>
      <c r="X7" s="50">
        <v>3</v>
      </c>
      <c r="Y7" s="72">
        <f t="shared" si="1"/>
        <v>3.1824463052837091</v>
      </c>
      <c r="Z7" s="73">
        <f t="shared" si="2"/>
        <v>5.8409093097333571</v>
      </c>
      <c r="AA7" s="74">
        <f t="shared" si="3"/>
        <v>12.923978636687485</v>
      </c>
      <c r="AC7" s="50">
        <v>3</v>
      </c>
      <c r="AD7" s="72">
        <f t="shared" si="4"/>
        <v>2.3533634348018233</v>
      </c>
      <c r="AE7" s="73">
        <f t="shared" si="5"/>
        <v>4.5407028585681335</v>
      </c>
      <c r="AF7" s="74">
        <f t="shared" si="6"/>
        <v>10.214531852407385</v>
      </c>
    </row>
    <row r="8" spans="2:32" x14ac:dyDescent="0.15">
      <c r="B8" s="4">
        <v>47</v>
      </c>
      <c r="D8" s="55" t="s">
        <v>143</v>
      </c>
      <c r="E8" s="27">
        <f>AVERAGE(B4:B100000)</f>
        <v>46</v>
      </c>
      <c r="F8" s="29"/>
      <c r="G8" s="255">
        <v>530</v>
      </c>
      <c r="H8" s="255">
        <v>610</v>
      </c>
      <c r="I8" s="259">
        <f t="shared" si="0"/>
        <v>-80</v>
      </c>
      <c r="J8" s="3"/>
      <c r="K8" s="1" t="s">
        <v>151</v>
      </c>
      <c r="L8" s="27">
        <f>AVERAGE(G5:G100000)</f>
        <v>585</v>
      </c>
      <c r="M8" s="8"/>
      <c r="N8" s="255">
        <v>530</v>
      </c>
      <c r="O8" s="255">
        <v>610</v>
      </c>
      <c r="Q8" s="1" t="s">
        <v>151</v>
      </c>
      <c r="R8" s="27">
        <f>AVERAGE(N5:N100000)</f>
        <v>585</v>
      </c>
      <c r="S8" s="28"/>
      <c r="T8" s="6" t="s">
        <v>118</v>
      </c>
      <c r="U8" s="7">
        <v>2</v>
      </c>
      <c r="X8" s="50">
        <v>4</v>
      </c>
      <c r="Y8" s="72">
        <f t="shared" si="1"/>
        <v>2.7764451051977934</v>
      </c>
      <c r="Z8" s="73">
        <f t="shared" si="2"/>
        <v>4.604094871349993</v>
      </c>
      <c r="AA8" s="74">
        <f t="shared" si="3"/>
        <v>8.6103015813792751</v>
      </c>
      <c r="AC8" s="50">
        <v>4</v>
      </c>
      <c r="AD8" s="72">
        <f t="shared" si="4"/>
        <v>2.1318467863266499</v>
      </c>
      <c r="AE8" s="73">
        <f t="shared" si="5"/>
        <v>3.7469473879791968</v>
      </c>
      <c r="AF8" s="74">
        <f t="shared" si="6"/>
        <v>7.1731822197823085</v>
      </c>
    </row>
    <row r="9" spans="2:32" x14ac:dyDescent="0.15">
      <c r="B9" s="4">
        <v>47</v>
      </c>
      <c r="D9" s="55" t="s">
        <v>144</v>
      </c>
      <c r="E9" s="27">
        <f>_xlfn.STDEV.S(B4:B100000)</f>
        <v>3.8297084310253524</v>
      </c>
      <c r="F9" s="29"/>
      <c r="G9" s="255">
        <v>490</v>
      </c>
      <c r="H9" s="255">
        <v>580</v>
      </c>
      <c r="I9" s="259">
        <f t="shared" si="0"/>
        <v>-90</v>
      </c>
      <c r="J9" s="3"/>
      <c r="K9" s="1" t="s">
        <v>152</v>
      </c>
      <c r="L9" s="27">
        <f>_xlfn.STDEV.S(G5:G100000)</f>
        <v>69.960306206051186</v>
      </c>
      <c r="M9" s="75"/>
      <c r="N9" s="255">
        <v>490</v>
      </c>
      <c r="O9" s="255">
        <v>580</v>
      </c>
      <c r="Q9" s="1" t="s">
        <v>152</v>
      </c>
      <c r="R9" s="27">
        <f>_xlfn.STDEV.S(N5:N100000)</f>
        <v>69.960306206051186</v>
      </c>
      <c r="S9" s="29"/>
      <c r="T9" s="10" t="s">
        <v>157</v>
      </c>
      <c r="U9" s="11">
        <v>9</v>
      </c>
      <c r="X9" s="50">
        <v>5</v>
      </c>
      <c r="Y9" s="72">
        <f t="shared" si="1"/>
        <v>2.570581835636315</v>
      </c>
      <c r="Z9" s="73">
        <f t="shared" si="2"/>
        <v>4.0321429835552278</v>
      </c>
      <c r="AA9" s="74">
        <f t="shared" si="3"/>
        <v>6.8688266258811099</v>
      </c>
      <c r="AC9" s="50">
        <v>5</v>
      </c>
      <c r="AD9" s="72">
        <f t="shared" si="4"/>
        <v>2.0150483733330233</v>
      </c>
      <c r="AE9" s="73">
        <f t="shared" si="5"/>
        <v>3.3649299989072183</v>
      </c>
      <c r="AF9" s="74">
        <f t="shared" si="6"/>
        <v>5.893429531356011</v>
      </c>
    </row>
    <row r="10" spans="2:32" ht="14" thickBot="1" x14ac:dyDescent="0.2">
      <c r="B10" s="4">
        <v>40</v>
      </c>
      <c r="D10" s="55" t="s">
        <v>145</v>
      </c>
      <c r="E10" s="27">
        <f>(E8-E3)/(E9/SQRT(E7))</f>
        <v>-2.7633971188310298</v>
      </c>
      <c r="F10" s="29"/>
      <c r="G10" s="255">
        <v>660</v>
      </c>
      <c r="H10" s="255">
        <v>720</v>
      </c>
      <c r="I10" s="259">
        <f t="shared" si="0"/>
        <v>-60</v>
      </c>
      <c r="J10" s="3"/>
      <c r="K10" s="1" t="s">
        <v>154</v>
      </c>
      <c r="L10" s="27">
        <f>AVERAGE(H5:H100000)</f>
        <v>635</v>
      </c>
      <c r="M10" s="76"/>
      <c r="N10" s="255">
        <v>660</v>
      </c>
      <c r="O10" s="255">
        <v>720</v>
      </c>
      <c r="Q10" s="1" t="s">
        <v>153</v>
      </c>
      <c r="R10" s="25">
        <f>COUNT(O5:O100000)</f>
        <v>10</v>
      </c>
      <c r="S10" s="29"/>
      <c r="T10" s="10" t="s">
        <v>156</v>
      </c>
      <c r="U10" s="46">
        <v>3.8</v>
      </c>
      <c r="X10" s="50">
        <v>6</v>
      </c>
      <c r="Y10" s="72">
        <f t="shared" si="1"/>
        <v>2.4469118511449697</v>
      </c>
      <c r="Z10" s="73">
        <f t="shared" si="2"/>
        <v>3.7074280213247794</v>
      </c>
      <c r="AA10" s="74">
        <f t="shared" si="3"/>
        <v>5.9588161788187586</v>
      </c>
      <c r="AC10" s="50">
        <v>6</v>
      </c>
      <c r="AD10" s="72">
        <f t="shared" si="4"/>
        <v>1.9431802805153031</v>
      </c>
      <c r="AE10" s="73">
        <f t="shared" si="5"/>
        <v>3.1426684032909828</v>
      </c>
      <c r="AF10" s="74">
        <f t="shared" si="6"/>
        <v>5.2076262387253633</v>
      </c>
    </row>
    <row r="11" spans="2:32" ht="14" thickBot="1" x14ac:dyDescent="0.2">
      <c r="D11" s="55" t="s">
        <v>146</v>
      </c>
      <c r="E11" s="25">
        <f>E7-1</f>
        <v>6</v>
      </c>
      <c r="F11" s="257"/>
      <c r="G11" s="255">
        <v>590</v>
      </c>
      <c r="H11" s="255">
        <v>660</v>
      </c>
      <c r="I11" s="259">
        <f t="shared" si="0"/>
        <v>-70</v>
      </c>
      <c r="J11" s="3"/>
      <c r="K11" s="83" t="s">
        <v>155</v>
      </c>
      <c r="L11" s="27">
        <f>_xlfn.STDEV.S(H5:H100000)</f>
        <v>60.964470527239605</v>
      </c>
      <c r="M11" s="76"/>
      <c r="N11" s="255">
        <v>590</v>
      </c>
      <c r="O11" s="255">
        <v>660</v>
      </c>
      <c r="Q11" s="1" t="s">
        <v>154</v>
      </c>
      <c r="R11" s="27">
        <f>AVERAGE(O5:O100000)</f>
        <v>635</v>
      </c>
      <c r="S11" s="29"/>
      <c r="T11" s="44" t="s">
        <v>122</v>
      </c>
      <c r="U11" s="45">
        <f>TDIST(U10,U9,U8)</f>
        <v>4.217365240122911E-3</v>
      </c>
      <c r="X11" s="50">
        <v>7</v>
      </c>
      <c r="Y11" s="72">
        <f t="shared" si="1"/>
        <v>2.3646242515927849</v>
      </c>
      <c r="Z11" s="73">
        <f t="shared" si="2"/>
        <v>3.4994832973504946</v>
      </c>
      <c r="AA11" s="74">
        <f t="shared" si="3"/>
        <v>5.4078825208617252</v>
      </c>
      <c r="AC11" s="50">
        <v>7</v>
      </c>
      <c r="AD11" s="72">
        <f t="shared" si="4"/>
        <v>1.8945786050900073</v>
      </c>
      <c r="AE11" s="73">
        <f t="shared" si="5"/>
        <v>2.997951566868529</v>
      </c>
      <c r="AF11" s="74">
        <f t="shared" si="6"/>
        <v>4.785289628638334</v>
      </c>
    </row>
    <row r="12" spans="2:32" x14ac:dyDescent="0.15">
      <c r="D12" s="55" t="s">
        <v>147</v>
      </c>
      <c r="E12" s="31">
        <f>TDIST(ABS(E10),E11,E4)</f>
        <v>3.270673237120067E-2</v>
      </c>
      <c r="F12" s="34"/>
      <c r="G12" s="255">
        <v>490</v>
      </c>
      <c r="H12" s="255">
        <v>560</v>
      </c>
      <c r="I12" s="259">
        <f t="shared" si="0"/>
        <v>-70</v>
      </c>
      <c r="J12" s="3"/>
      <c r="K12" s="1" t="s">
        <v>156</v>
      </c>
      <c r="L12" s="27">
        <f>(L17-L3)/(L18/SQRT(L7))</f>
        <v>-3.7977726265637508</v>
      </c>
      <c r="M12" s="76"/>
      <c r="N12" s="255">
        <v>490</v>
      </c>
      <c r="O12" s="255">
        <v>560</v>
      </c>
      <c r="Q12" s="1" t="s">
        <v>155</v>
      </c>
      <c r="R12" s="27">
        <f>_xlfn.STDEV.S(O5:O100000)</f>
        <v>60.964470527239605</v>
      </c>
      <c r="S12" s="29"/>
      <c r="T12" s="34"/>
      <c r="U12" s="34"/>
      <c r="X12" s="50">
        <v>8</v>
      </c>
      <c r="Y12" s="72">
        <f t="shared" si="1"/>
        <v>2.3060041352041671</v>
      </c>
      <c r="Z12" s="73">
        <f t="shared" si="2"/>
        <v>3.3553873313333953</v>
      </c>
      <c r="AA12" s="74">
        <f t="shared" si="3"/>
        <v>5.0413054333733669</v>
      </c>
      <c r="AC12" s="50">
        <v>8</v>
      </c>
      <c r="AD12" s="72">
        <f t="shared" si="4"/>
        <v>1.8595480375308981</v>
      </c>
      <c r="AE12" s="73">
        <f t="shared" si="5"/>
        <v>2.8964594477096224</v>
      </c>
      <c r="AF12" s="74">
        <f t="shared" si="6"/>
        <v>4.5007909337237244</v>
      </c>
    </row>
    <row r="13" spans="2:32" ht="14" thickBot="1" x14ac:dyDescent="0.2">
      <c r="D13" s="39" t="s">
        <v>148</v>
      </c>
      <c r="E13" s="33">
        <f>(E8-E3)/E9</f>
        <v>-1.044465935734187</v>
      </c>
      <c r="F13" s="29"/>
      <c r="G13" s="255">
        <v>650</v>
      </c>
      <c r="H13" s="255">
        <v>610</v>
      </c>
      <c r="I13" s="259">
        <f t="shared" si="0"/>
        <v>40</v>
      </c>
      <c r="J13" s="3"/>
      <c r="K13" s="1" t="s">
        <v>157</v>
      </c>
      <c r="L13" s="25">
        <f>L7-1</f>
        <v>9</v>
      </c>
      <c r="M13" s="75"/>
      <c r="N13" s="255">
        <v>650</v>
      </c>
      <c r="O13" s="255">
        <v>610</v>
      </c>
      <c r="Q13" s="1" t="s">
        <v>156</v>
      </c>
      <c r="R13" s="27">
        <f>(R8-R11)/R19</f>
        <v>-1.7038855027411945</v>
      </c>
      <c r="S13" s="29"/>
      <c r="T13" s="29"/>
      <c r="U13" s="29"/>
      <c r="V13" s="34"/>
      <c r="X13" s="50">
        <v>9</v>
      </c>
      <c r="Y13" s="72">
        <f t="shared" si="1"/>
        <v>2.2621571627982053</v>
      </c>
      <c r="Z13" s="73">
        <f t="shared" si="2"/>
        <v>3.2498355415921263</v>
      </c>
      <c r="AA13" s="74">
        <f t="shared" si="3"/>
        <v>4.7809125859311381</v>
      </c>
      <c r="AC13" s="50">
        <v>9</v>
      </c>
      <c r="AD13" s="72">
        <f t="shared" si="4"/>
        <v>1.8331129326562374</v>
      </c>
      <c r="AE13" s="73">
        <f t="shared" si="5"/>
        <v>2.8214379250258084</v>
      </c>
      <c r="AF13" s="74">
        <f t="shared" si="6"/>
        <v>4.2968056627299189</v>
      </c>
    </row>
    <row r="14" spans="2:32" x14ac:dyDescent="0.15">
      <c r="G14" s="255">
        <v>680</v>
      </c>
      <c r="H14" s="255">
        <v>750</v>
      </c>
      <c r="I14" s="259">
        <f t="shared" si="0"/>
        <v>-70</v>
      </c>
      <c r="J14" s="3"/>
      <c r="K14" s="1" t="s">
        <v>122</v>
      </c>
      <c r="L14" s="31">
        <f>TDIST(ABS(L12),L13,L4)</f>
        <v>4.2318164003028605E-3</v>
      </c>
      <c r="M14" s="77"/>
      <c r="N14" s="255">
        <v>680</v>
      </c>
      <c r="O14" s="255">
        <v>750</v>
      </c>
      <c r="Q14" s="1" t="s">
        <v>157</v>
      </c>
      <c r="R14" s="25">
        <f>R7+R10-2</f>
        <v>18</v>
      </c>
      <c r="S14" s="28"/>
      <c r="T14" s="75"/>
      <c r="U14" s="75"/>
      <c r="V14" s="29"/>
      <c r="X14" s="50">
        <v>10</v>
      </c>
      <c r="Y14" s="72">
        <f t="shared" si="1"/>
        <v>2.2281388519862744</v>
      </c>
      <c r="Z14" s="73">
        <f t="shared" si="2"/>
        <v>3.1692726726169518</v>
      </c>
      <c r="AA14" s="74">
        <f t="shared" si="3"/>
        <v>4.586893858702636</v>
      </c>
      <c r="AC14" s="50">
        <v>10</v>
      </c>
      <c r="AD14" s="72">
        <f t="shared" si="4"/>
        <v>1.812461122811676</v>
      </c>
      <c r="AE14" s="73">
        <f t="shared" si="5"/>
        <v>2.7637694581126966</v>
      </c>
      <c r="AF14" s="74">
        <f t="shared" si="6"/>
        <v>4.1437004940465902</v>
      </c>
    </row>
    <row r="15" spans="2:32" ht="14" thickBot="1" x14ac:dyDescent="0.2">
      <c r="G15" s="4"/>
      <c r="H15" s="4"/>
      <c r="I15" s="4"/>
      <c r="J15" s="3"/>
      <c r="K15" s="32" t="s">
        <v>123</v>
      </c>
      <c r="L15" s="33">
        <f>(L17-L3)/L19</f>
        <v>-0.76200076200114297</v>
      </c>
      <c r="M15" s="76"/>
      <c r="Q15" s="1" t="s">
        <v>122</v>
      </c>
      <c r="R15" s="31">
        <f>TDIST(ABS(R13),R14,R4)</f>
        <v>0.10560419734785398</v>
      </c>
      <c r="S15" s="34"/>
      <c r="T15" s="78"/>
      <c r="U15" s="78"/>
      <c r="V15" s="75"/>
      <c r="X15" s="50">
        <v>11</v>
      </c>
      <c r="Y15" s="72">
        <f t="shared" si="1"/>
        <v>2.2009851600916384</v>
      </c>
      <c r="Z15" s="73">
        <f t="shared" si="2"/>
        <v>3.1058065155392809</v>
      </c>
      <c r="AA15" s="74">
        <f t="shared" si="3"/>
        <v>4.4369793382344493</v>
      </c>
      <c r="AC15" s="50">
        <v>11</v>
      </c>
      <c r="AD15" s="72">
        <f t="shared" si="4"/>
        <v>1.7958848187040437</v>
      </c>
      <c r="AE15" s="73">
        <f t="shared" si="5"/>
        <v>2.7180791838138614</v>
      </c>
      <c r="AF15" s="74">
        <f t="shared" si="6"/>
        <v>4.0247010376307388</v>
      </c>
    </row>
    <row r="16" spans="2:32" ht="14" thickBot="1" x14ac:dyDescent="0.2">
      <c r="G16" s="4"/>
      <c r="H16" s="4"/>
      <c r="I16" s="4"/>
      <c r="J16" s="3"/>
      <c r="K16" s="21"/>
      <c r="L16" s="75"/>
      <c r="Q16" s="32" t="s">
        <v>123</v>
      </c>
      <c r="R16" s="33">
        <f>(R8-R11)/R18</f>
        <v>-0.76200076200114297</v>
      </c>
      <c r="S16" s="29"/>
      <c r="T16" s="78"/>
      <c r="U16" s="78"/>
      <c r="V16" s="78"/>
      <c r="X16" s="50">
        <v>12</v>
      </c>
      <c r="Y16" s="72">
        <f t="shared" si="1"/>
        <v>2.1788128296672284</v>
      </c>
      <c r="Z16" s="73">
        <f t="shared" si="2"/>
        <v>3.0545395893929017</v>
      </c>
      <c r="AA16" s="74">
        <f t="shared" si="3"/>
        <v>4.3177912836061845</v>
      </c>
      <c r="AC16" s="50">
        <v>12</v>
      </c>
      <c r="AD16" s="72">
        <f t="shared" si="4"/>
        <v>1.7822875556493194</v>
      </c>
      <c r="AE16" s="73">
        <f t="shared" si="5"/>
        <v>2.6809979931209149</v>
      </c>
      <c r="AF16" s="74">
        <f t="shared" si="6"/>
        <v>3.9296332646264918</v>
      </c>
    </row>
    <row r="17" spans="7:32" x14ac:dyDescent="0.15">
      <c r="G17" s="4"/>
      <c r="H17" s="4"/>
      <c r="I17" s="4"/>
      <c r="J17" s="3"/>
      <c r="K17" s="84" t="s">
        <v>159</v>
      </c>
      <c r="L17" s="78">
        <f>AVERAGE(I4:I100000)</f>
        <v>-50</v>
      </c>
      <c r="S17" s="75"/>
      <c r="T17" s="79"/>
      <c r="U17" s="79"/>
      <c r="V17" s="78"/>
      <c r="X17" s="50">
        <v>13</v>
      </c>
      <c r="Y17" s="72">
        <f t="shared" si="1"/>
        <v>2.1603686564627926</v>
      </c>
      <c r="Z17" s="73">
        <f t="shared" si="2"/>
        <v>3.0122758387165782</v>
      </c>
      <c r="AA17" s="74">
        <f t="shared" si="3"/>
        <v>4.2208317277071208</v>
      </c>
      <c r="AC17" s="50">
        <v>13</v>
      </c>
      <c r="AD17" s="72">
        <f t="shared" si="4"/>
        <v>1.7709333959868729</v>
      </c>
      <c r="AE17" s="73">
        <f t="shared" si="5"/>
        <v>2.650308837912192</v>
      </c>
      <c r="AF17" s="74">
        <f t="shared" si="6"/>
        <v>3.8519823911683879</v>
      </c>
    </row>
    <row r="18" spans="7:32" x14ac:dyDescent="0.15">
      <c r="G18" s="4"/>
      <c r="H18" s="4"/>
      <c r="I18" s="4"/>
      <c r="J18" s="3"/>
      <c r="K18" s="84" t="s">
        <v>160</v>
      </c>
      <c r="L18" s="78">
        <f>_xlfn.STDEV.S(I5:I100000)</f>
        <v>41.633319989322651</v>
      </c>
      <c r="Q18" s="53" t="s">
        <v>225</v>
      </c>
      <c r="R18" s="54">
        <f>SQRT((R9^2*(R7-1)+R12^2*(R10-1))/R14)</f>
        <v>65.616732283431759</v>
      </c>
      <c r="S18" s="78"/>
      <c r="V18" s="79"/>
      <c r="X18" s="50">
        <v>14</v>
      </c>
      <c r="Y18" s="72">
        <f t="shared" si="1"/>
        <v>2.1447866879178044</v>
      </c>
      <c r="Z18" s="73">
        <f t="shared" si="2"/>
        <v>2.9768427343708348</v>
      </c>
      <c r="AA18" s="74">
        <f t="shared" si="3"/>
        <v>4.1404541127382029</v>
      </c>
      <c r="AC18" s="50">
        <v>14</v>
      </c>
      <c r="AD18" s="72">
        <f t="shared" si="4"/>
        <v>1.7613101357748921</v>
      </c>
      <c r="AE18" s="73">
        <f t="shared" si="5"/>
        <v>2.6244940675900517</v>
      </c>
      <c r="AF18" s="74">
        <f t="shared" si="6"/>
        <v>3.7873902375233461</v>
      </c>
    </row>
    <row r="19" spans="7:32" x14ac:dyDescent="0.15">
      <c r="G19" s="4"/>
      <c r="H19" s="4"/>
      <c r="I19" s="4"/>
      <c r="J19" s="3"/>
      <c r="K19" s="53" t="s">
        <v>225</v>
      </c>
      <c r="L19" s="79">
        <f>SQRT((L9^2+L11^2)/2)</f>
        <v>65.616732283431759</v>
      </c>
      <c r="Q19" s="53" t="s">
        <v>226</v>
      </c>
      <c r="R19" s="54">
        <f>SQRT(R18^2/R7+R18^2/R10)</f>
        <v>29.34469476943168</v>
      </c>
      <c r="S19" s="78"/>
      <c r="X19" s="50">
        <v>15</v>
      </c>
      <c r="Y19" s="72">
        <f t="shared" si="1"/>
        <v>2.1314495455597742</v>
      </c>
      <c r="Z19" s="73">
        <f t="shared" si="2"/>
        <v>2.9467128834752381</v>
      </c>
      <c r="AA19" s="74">
        <f t="shared" si="3"/>
        <v>4.0727651959037905</v>
      </c>
      <c r="AC19" s="50">
        <v>15</v>
      </c>
      <c r="AD19" s="72">
        <f t="shared" si="4"/>
        <v>1.7530503556925723</v>
      </c>
      <c r="AE19" s="73">
        <f t="shared" si="5"/>
        <v>2.6024802950111221</v>
      </c>
      <c r="AF19" s="74">
        <f t="shared" si="6"/>
        <v>3.7328344253108998</v>
      </c>
    </row>
    <row r="20" spans="7:32" x14ac:dyDescent="0.15">
      <c r="S20" s="79"/>
      <c r="X20" s="50">
        <v>16</v>
      </c>
      <c r="Y20" s="72">
        <f t="shared" si="1"/>
        <v>2.119905299221255</v>
      </c>
      <c r="Z20" s="73">
        <f t="shared" si="2"/>
        <v>2.9207816224251002</v>
      </c>
      <c r="AA20" s="74">
        <f t="shared" si="3"/>
        <v>4.0149963271840559</v>
      </c>
      <c r="AC20" s="50">
        <v>16</v>
      </c>
      <c r="AD20" s="72">
        <f t="shared" si="4"/>
        <v>1.7458836762762506</v>
      </c>
      <c r="AE20" s="73">
        <f t="shared" si="5"/>
        <v>2.5834871852759917</v>
      </c>
      <c r="AF20" s="74">
        <f t="shared" si="6"/>
        <v>3.6861547926860139</v>
      </c>
    </row>
    <row r="21" spans="7:32" x14ac:dyDescent="0.15">
      <c r="T21" s="2"/>
      <c r="U21" s="2"/>
      <c r="V21" s="169"/>
      <c r="X21" s="50">
        <v>17</v>
      </c>
      <c r="Y21" s="72">
        <f t="shared" si="1"/>
        <v>2.109815577833317</v>
      </c>
      <c r="Z21" s="73">
        <f t="shared" si="2"/>
        <v>2.8982305196774178</v>
      </c>
      <c r="AA21" s="74">
        <f t="shared" si="3"/>
        <v>3.9651262721190315</v>
      </c>
      <c r="AC21" s="50">
        <v>17</v>
      </c>
      <c r="AD21" s="72">
        <f t="shared" si="4"/>
        <v>1.7396067260750732</v>
      </c>
      <c r="AE21" s="73">
        <f t="shared" si="5"/>
        <v>2.5669339837247178</v>
      </c>
      <c r="AF21" s="74">
        <f t="shared" si="6"/>
        <v>3.6457673800784094</v>
      </c>
    </row>
    <row r="22" spans="7:32" x14ac:dyDescent="0.15">
      <c r="S22" s="2"/>
      <c r="T22" s="2"/>
      <c r="U22" s="169"/>
      <c r="V22" s="256"/>
      <c r="X22" s="50">
        <v>18</v>
      </c>
      <c r="Y22" s="72">
        <f t="shared" si="1"/>
        <v>2.1009220402410378</v>
      </c>
      <c r="Z22" s="73">
        <f t="shared" si="2"/>
        <v>2.8784404727386073</v>
      </c>
      <c r="AA22" s="74">
        <f t="shared" si="3"/>
        <v>3.9216458250851596</v>
      </c>
      <c r="AC22" s="50">
        <v>18</v>
      </c>
      <c r="AD22" s="72">
        <f t="shared" si="4"/>
        <v>1.7340636066175394</v>
      </c>
      <c r="AE22" s="73">
        <f t="shared" si="5"/>
        <v>2.552379630182251</v>
      </c>
      <c r="AF22" s="74">
        <f t="shared" si="6"/>
        <v>3.6104848848250937</v>
      </c>
    </row>
    <row r="23" spans="7:32" x14ac:dyDescent="0.15">
      <c r="S23" s="260"/>
      <c r="T23" s="260"/>
      <c r="U23" s="260"/>
      <c r="V23" s="256"/>
      <c r="X23" s="50">
        <v>19</v>
      </c>
      <c r="Y23" s="72">
        <f t="shared" si="1"/>
        <v>2.0930240544083096</v>
      </c>
      <c r="Z23" s="73">
        <f t="shared" si="2"/>
        <v>2.8609346064649799</v>
      </c>
      <c r="AA23" s="74">
        <f t="shared" si="3"/>
        <v>3.883405852592082</v>
      </c>
      <c r="AC23" s="50">
        <v>19</v>
      </c>
      <c r="AD23" s="72">
        <f t="shared" si="4"/>
        <v>1.7291328115213698</v>
      </c>
      <c r="AE23" s="73">
        <f t="shared" si="5"/>
        <v>2.5394831906239612</v>
      </c>
      <c r="AF23" s="74">
        <f t="shared" si="6"/>
        <v>3.5794001489547163</v>
      </c>
    </row>
    <row r="24" spans="7:32" x14ac:dyDescent="0.15">
      <c r="S24" s="260"/>
      <c r="T24" s="260"/>
      <c r="U24" s="260"/>
      <c r="V24" s="256"/>
      <c r="X24" s="50">
        <v>20</v>
      </c>
      <c r="Y24" s="72">
        <f t="shared" si="1"/>
        <v>2.0859634472658648</v>
      </c>
      <c r="Z24" s="73">
        <f t="shared" si="2"/>
        <v>2.8453397097861091</v>
      </c>
      <c r="AA24" s="74">
        <f t="shared" si="3"/>
        <v>3.8495162749308265</v>
      </c>
      <c r="AC24" s="50">
        <v>20</v>
      </c>
      <c r="AD24" s="72">
        <f t="shared" si="4"/>
        <v>1.7247182429207868</v>
      </c>
      <c r="AE24" s="73">
        <f t="shared" si="5"/>
        <v>2.5279770027415731</v>
      </c>
      <c r="AF24" s="74">
        <f t="shared" si="6"/>
        <v>3.5518083432033336</v>
      </c>
    </row>
    <row r="25" spans="7:32" x14ac:dyDescent="0.15">
      <c r="S25" s="260"/>
      <c r="T25" s="260"/>
      <c r="U25" s="260"/>
      <c r="V25" s="256"/>
      <c r="X25" s="50">
        <v>21</v>
      </c>
      <c r="Y25" s="72">
        <f t="shared" si="1"/>
        <v>2.07961384472768</v>
      </c>
      <c r="Z25" s="73">
        <f t="shared" si="2"/>
        <v>2.8313595580230499</v>
      </c>
      <c r="AA25" s="74">
        <f t="shared" si="3"/>
        <v>3.8192771642744621</v>
      </c>
      <c r="AC25" s="50">
        <v>21</v>
      </c>
      <c r="AD25" s="72">
        <f t="shared" si="4"/>
        <v>1.7207429028118781</v>
      </c>
      <c r="AE25" s="73">
        <f t="shared" si="5"/>
        <v>2.5176480160447423</v>
      </c>
      <c r="AF25" s="74">
        <f t="shared" si="6"/>
        <v>3.5271536688691771</v>
      </c>
    </row>
    <row r="26" spans="7:32" x14ac:dyDescent="0.15">
      <c r="S26" s="260"/>
      <c r="T26" s="260"/>
      <c r="U26" s="260"/>
      <c r="V26" s="256"/>
      <c r="X26" s="50">
        <v>22</v>
      </c>
      <c r="Y26" s="72">
        <f t="shared" si="1"/>
        <v>2.0738730679040258</v>
      </c>
      <c r="Z26" s="73">
        <f t="shared" si="2"/>
        <v>2.8187560606001436</v>
      </c>
      <c r="AA26" s="74">
        <f t="shared" si="3"/>
        <v>3.79213067169839</v>
      </c>
      <c r="AC26" s="50">
        <v>22</v>
      </c>
      <c r="AD26" s="72">
        <f t="shared" si="4"/>
        <v>1.7171443743802424</v>
      </c>
      <c r="AE26" s="73">
        <f t="shared" si="5"/>
        <v>2.5083245528990807</v>
      </c>
      <c r="AF26" s="74">
        <f t="shared" si="6"/>
        <v>3.5049920310846621</v>
      </c>
    </row>
    <row r="27" spans="7:32" x14ac:dyDescent="0.15">
      <c r="S27" s="260"/>
      <c r="T27" s="260"/>
      <c r="U27" s="260"/>
      <c r="V27" s="256"/>
      <c r="X27" s="50">
        <v>23</v>
      </c>
      <c r="Y27" s="72">
        <f t="shared" si="1"/>
        <v>2.0686576104190491</v>
      </c>
      <c r="Z27" s="73">
        <f t="shared" si="2"/>
        <v>2.807335683769999</v>
      </c>
      <c r="AA27" s="74">
        <f t="shared" si="3"/>
        <v>3.7676268043117811</v>
      </c>
      <c r="AC27" s="50">
        <v>23</v>
      </c>
      <c r="AD27" s="72">
        <f t="shared" si="4"/>
        <v>1.7138715277470482</v>
      </c>
      <c r="AE27" s="73">
        <f t="shared" si="5"/>
        <v>2.4998667394946681</v>
      </c>
      <c r="AF27" s="74">
        <f t="shared" si="6"/>
        <v>3.4849643749398127</v>
      </c>
    </row>
    <row r="28" spans="7:32" x14ac:dyDescent="0.15">
      <c r="S28" s="260"/>
      <c r="T28" s="260"/>
      <c r="U28" s="260"/>
      <c r="V28" s="256"/>
      <c r="X28" s="50">
        <v>24</v>
      </c>
      <c r="Y28" s="72">
        <f t="shared" si="1"/>
        <v>2.0638985616280254</v>
      </c>
      <c r="Z28" s="73">
        <f t="shared" si="2"/>
        <v>2.7969395047744556</v>
      </c>
      <c r="AA28" s="74">
        <f t="shared" si="3"/>
        <v>3.7453986192900528</v>
      </c>
      <c r="AC28" s="50">
        <v>24</v>
      </c>
      <c r="AD28" s="72">
        <f t="shared" si="4"/>
        <v>1.7108820799094284</v>
      </c>
      <c r="AE28" s="73">
        <f t="shared" si="5"/>
        <v>2.492159473157757</v>
      </c>
      <c r="AF28" s="74">
        <f t="shared" si="6"/>
        <v>3.4667772980160274</v>
      </c>
    </row>
    <row r="29" spans="7:32" x14ac:dyDescent="0.15">
      <c r="S29" s="260"/>
      <c r="T29" s="260"/>
      <c r="U29" s="260"/>
      <c r="V29" s="256"/>
      <c r="X29" s="50">
        <v>25</v>
      </c>
      <c r="Y29" s="72">
        <f t="shared" si="1"/>
        <v>2.0595385527532977</v>
      </c>
      <c r="Z29" s="73">
        <f t="shared" si="2"/>
        <v>2.7874358136769706</v>
      </c>
      <c r="AA29" s="74">
        <f t="shared" si="3"/>
        <v>3.7251439497286496</v>
      </c>
      <c r="AC29" s="50">
        <v>25</v>
      </c>
      <c r="AD29" s="72">
        <f t="shared" si="4"/>
        <v>1.7081407612518986</v>
      </c>
      <c r="AE29" s="73">
        <f t="shared" si="5"/>
        <v>2.485107175410763</v>
      </c>
      <c r="AF29" s="74">
        <f t="shared" si="6"/>
        <v>3.4501887269730638</v>
      </c>
    </row>
    <row r="30" spans="7:32" x14ac:dyDescent="0.15">
      <c r="S30" s="260"/>
      <c r="T30" s="260"/>
      <c r="U30" s="260"/>
      <c r="V30" s="256"/>
      <c r="X30" s="50">
        <v>26</v>
      </c>
      <c r="Y30" s="72">
        <f t="shared" si="1"/>
        <v>2.0555294386428731</v>
      </c>
      <c r="Z30" s="73">
        <f t="shared" si="2"/>
        <v>2.7787145333296839</v>
      </c>
      <c r="AA30" s="74">
        <f t="shared" si="3"/>
        <v>3.7066117434809116</v>
      </c>
      <c r="AC30" s="50">
        <v>26</v>
      </c>
      <c r="AD30" s="72">
        <f t="shared" si="4"/>
        <v>1.7056179197592738</v>
      </c>
      <c r="AE30" s="73">
        <f t="shared" si="5"/>
        <v>2.4786298235912425</v>
      </c>
      <c r="AF30" s="74">
        <f t="shared" si="6"/>
        <v>3.4349971815631162</v>
      </c>
    </row>
    <row r="31" spans="7:32" x14ac:dyDescent="0.15">
      <c r="S31" s="260"/>
      <c r="T31" s="260"/>
      <c r="U31" s="260"/>
      <c r="V31" s="256"/>
      <c r="X31" s="50">
        <v>27</v>
      </c>
      <c r="Y31" s="72">
        <f t="shared" si="1"/>
        <v>2.0518305164802859</v>
      </c>
      <c r="Z31" s="73">
        <f t="shared" si="2"/>
        <v>2.770682957122212</v>
      </c>
      <c r="AA31" s="74">
        <f t="shared" si="3"/>
        <v>3.6895917134592362</v>
      </c>
      <c r="AC31" s="50">
        <v>27</v>
      </c>
      <c r="AD31" s="72">
        <f t="shared" si="4"/>
        <v>1.7032884457221271</v>
      </c>
      <c r="AE31" s="73">
        <f t="shared" si="5"/>
        <v>2.4726599119560069</v>
      </c>
      <c r="AF31" s="74">
        <f t="shared" si="6"/>
        <v>3.4210336212293058</v>
      </c>
    </row>
    <row r="32" spans="7:32" x14ac:dyDescent="0.15">
      <c r="S32" s="260"/>
      <c r="T32" s="260"/>
      <c r="U32" s="260"/>
      <c r="X32" s="50">
        <v>28</v>
      </c>
      <c r="Y32" s="72">
        <f t="shared" si="1"/>
        <v>2.0484071417952445</v>
      </c>
      <c r="Z32" s="73">
        <f t="shared" si="2"/>
        <v>2.7632624554614447</v>
      </c>
      <c r="AA32" s="74">
        <f t="shared" si="3"/>
        <v>3.6739064007012763</v>
      </c>
      <c r="AC32" s="50">
        <v>28</v>
      </c>
      <c r="AD32" s="72">
        <f t="shared" si="4"/>
        <v>1.7011309342659326</v>
      </c>
      <c r="AE32" s="73">
        <f t="shared" si="5"/>
        <v>2.467140097967472</v>
      </c>
      <c r="AF32" s="74">
        <f t="shared" si="6"/>
        <v>3.4081551783533595</v>
      </c>
    </row>
    <row r="33" spans="23:32" x14ac:dyDescent="0.15">
      <c r="X33" s="50">
        <v>29</v>
      </c>
      <c r="Y33" s="72">
        <f t="shared" si="1"/>
        <v>2.0452296421327048</v>
      </c>
      <c r="Z33" s="73">
        <f t="shared" si="2"/>
        <v>2.7563859036706049</v>
      </c>
      <c r="AA33" s="74">
        <f t="shared" si="3"/>
        <v>3.659405019466333</v>
      </c>
      <c r="AC33" s="50">
        <v>29</v>
      </c>
      <c r="AD33" s="72">
        <f t="shared" si="4"/>
        <v>1.6991270265334986</v>
      </c>
      <c r="AE33" s="73">
        <f t="shared" si="5"/>
        <v>2.4620213601504126</v>
      </c>
      <c r="AF33" s="74">
        <f t="shared" si="6"/>
        <v>3.3962402883568026</v>
      </c>
    </row>
    <row r="34" spans="23:32" x14ac:dyDescent="0.15">
      <c r="X34" s="50">
        <v>30</v>
      </c>
      <c r="Y34" s="72">
        <f t="shared" si="1"/>
        <v>2.0422724563012378</v>
      </c>
      <c r="Z34" s="73">
        <f t="shared" si="2"/>
        <v>2.7499956535672259</v>
      </c>
      <c r="AA34" s="74">
        <f t="shared" si="3"/>
        <v>3.6459586350420214</v>
      </c>
      <c r="AC34" s="50">
        <v>30</v>
      </c>
      <c r="AD34" s="72">
        <f t="shared" si="4"/>
        <v>1.6972608865939587</v>
      </c>
      <c r="AE34" s="73">
        <f t="shared" si="5"/>
        <v>2.4572615424005915</v>
      </c>
      <c r="AF34" s="74">
        <f t="shared" si="6"/>
        <v>3.385184866829305</v>
      </c>
    </row>
    <row r="35" spans="23:32" x14ac:dyDescent="0.15">
      <c r="X35" s="50">
        <v>40</v>
      </c>
      <c r="Y35" s="72">
        <f t="shared" si="1"/>
        <v>2.0210753903062737</v>
      </c>
      <c r="Z35" s="73">
        <f t="shared" si="2"/>
        <v>2.7044592674331631</v>
      </c>
      <c r="AA35" s="74">
        <f t="shared" si="3"/>
        <v>3.5509657608633112</v>
      </c>
      <c r="AC35" s="50">
        <v>40</v>
      </c>
      <c r="AD35" s="72">
        <f t="shared" si="4"/>
        <v>1.6838510133356521</v>
      </c>
      <c r="AE35" s="73">
        <f t="shared" si="5"/>
        <v>2.4232567793348583</v>
      </c>
      <c r="AF35" s="74">
        <f t="shared" si="6"/>
        <v>3.3068777140858225</v>
      </c>
    </row>
    <row r="36" spans="23:32" x14ac:dyDescent="0.15">
      <c r="X36" s="50">
        <v>60</v>
      </c>
      <c r="Y36" s="72">
        <f t="shared" si="1"/>
        <v>2.0002978220142609</v>
      </c>
      <c r="Z36" s="73">
        <f t="shared" si="2"/>
        <v>2.6602830288550381</v>
      </c>
      <c r="AA36" s="74">
        <f t="shared" si="3"/>
        <v>3.4602004691963555</v>
      </c>
      <c r="AC36" s="50">
        <v>60</v>
      </c>
      <c r="AD36" s="72">
        <f t="shared" si="4"/>
        <v>1.6706488649046354</v>
      </c>
      <c r="AE36" s="73">
        <f t="shared" si="5"/>
        <v>2.3901194726249129</v>
      </c>
      <c r="AF36" s="74">
        <f t="shared" si="6"/>
        <v>3.2317091260243584</v>
      </c>
    </row>
    <row r="37" spans="23:32" x14ac:dyDescent="0.15">
      <c r="X37" s="50">
        <v>120</v>
      </c>
      <c r="Y37" s="72">
        <f t="shared" si="1"/>
        <v>1.9799304050824413</v>
      </c>
      <c r="Z37" s="73">
        <f t="shared" si="2"/>
        <v>2.617421145106865</v>
      </c>
      <c r="AA37" s="74">
        <f t="shared" si="3"/>
        <v>3.3734537685625003</v>
      </c>
      <c r="AC37" s="50">
        <v>120</v>
      </c>
      <c r="AD37" s="72">
        <f t="shared" si="4"/>
        <v>1.6576508993552355</v>
      </c>
      <c r="AE37" s="73">
        <f t="shared" si="5"/>
        <v>2.3578246126487556</v>
      </c>
      <c r="AF37" s="74">
        <f t="shared" si="6"/>
        <v>3.15953874331711</v>
      </c>
    </row>
    <row r="38" spans="23:32" ht="14" thickBot="1" x14ac:dyDescent="0.2">
      <c r="X38" s="50" t="s">
        <v>223</v>
      </c>
      <c r="Y38" s="80">
        <v>1.96</v>
      </c>
      <c r="Z38" s="81">
        <v>2.5760000000000001</v>
      </c>
      <c r="AA38" s="82">
        <v>3.2909999999999999</v>
      </c>
      <c r="AC38" s="50" t="s">
        <v>223</v>
      </c>
      <c r="AD38" s="80">
        <v>1.645</v>
      </c>
      <c r="AE38" s="81">
        <v>2.3260000000000001</v>
      </c>
      <c r="AF38" s="82">
        <v>3.09</v>
      </c>
    </row>
    <row r="39" spans="23:32" x14ac:dyDescent="0.15">
      <c r="W39" s="50"/>
    </row>
    <row r="40" spans="23:32" x14ac:dyDescent="0.15">
      <c r="W40" s="50"/>
    </row>
    <row r="41" spans="23:32" x14ac:dyDescent="0.15">
      <c r="W41" s="50"/>
    </row>
    <row r="42" spans="23:32" x14ac:dyDescent="0.15">
      <c r="W42" s="50"/>
    </row>
    <row r="43" spans="23:32" x14ac:dyDescent="0.15">
      <c r="W43" s="50"/>
    </row>
    <row r="44" spans="23:32" x14ac:dyDescent="0.15">
      <c r="W44" s="50"/>
    </row>
    <row r="45" spans="23:32" x14ac:dyDescent="0.15">
      <c r="W45" s="50"/>
    </row>
    <row r="46" spans="23:32" x14ac:dyDescent="0.15">
      <c r="W46" s="50"/>
    </row>
    <row r="47" spans="23:32" x14ac:dyDescent="0.15">
      <c r="W47" s="50"/>
    </row>
    <row r="48" spans="23:32" x14ac:dyDescent="0.15">
      <c r="W48" s="50"/>
    </row>
    <row r="49" spans="23:23" x14ac:dyDescent="0.15">
      <c r="W49" s="50"/>
    </row>
    <row r="50" spans="23:23" x14ac:dyDescent="0.15">
      <c r="W50" s="50"/>
    </row>
    <row r="51" spans="23:23" x14ac:dyDescent="0.15">
      <c r="W51" s="50"/>
    </row>
    <row r="52" spans="23:23" x14ac:dyDescent="0.15">
      <c r="W52" s="50"/>
    </row>
    <row r="53" spans="23:23" x14ac:dyDescent="0.15">
      <c r="W53" s="50"/>
    </row>
    <row r="54" spans="23:23" x14ac:dyDescent="0.15">
      <c r="W54" s="50"/>
    </row>
    <row r="55" spans="23:23" x14ac:dyDescent="0.15">
      <c r="W55" s="50"/>
    </row>
  </sheetData>
  <mergeCells count="10">
    <mergeCell ref="T1:V1"/>
    <mergeCell ref="X1:AF1"/>
    <mergeCell ref="B1:E1"/>
    <mergeCell ref="D6:E6"/>
    <mergeCell ref="N1:R1"/>
    <mergeCell ref="Q6:R6"/>
    <mergeCell ref="N3:O3"/>
    <mergeCell ref="G1:L1"/>
    <mergeCell ref="G3:H3"/>
    <mergeCell ref="K6:L6"/>
  </mergeCells>
  <phoneticPr fontId="4" type="noConversion"/>
  <pageMargins left="0.75" right="0.75" top="1" bottom="1" header="0.5" footer="0.5"/>
  <pageSetup scale="90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B136"/>
  <sheetViews>
    <sheetView workbookViewId="0"/>
  </sheetViews>
  <sheetFormatPr baseColWidth="10" defaultColWidth="8.83203125" defaultRowHeight="13" x14ac:dyDescent="0.15"/>
  <cols>
    <col min="1" max="1" width="1.6640625" style="3" customWidth="1"/>
    <col min="2" max="5" width="8.83203125" style="4"/>
    <col min="6" max="8" width="8.83203125" style="3"/>
    <col min="9" max="13" width="8.83203125" style="4"/>
    <col min="14" max="14" width="9.1640625" style="4" customWidth="1"/>
    <col min="15" max="16" width="8.83203125" style="4"/>
    <col min="17" max="17" width="8.83203125" style="3"/>
    <col min="18" max="21" width="8.83203125" style="4"/>
    <col min="22" max="24" width="8.83203125" style="3"/>
    <col min="25" max="29" width="8.83203125" style="4"/>
    <col min="30" max="30" width="9.1640625" style="4" customWidth="1"/>
    <col min="31" max="32" width="8.83203125" style="4"/>
    <col min="33" max="37" width="8.83203125" style="3"/>
    <col min="38" max="38" width="13.5" style="3" customWidth="1"/>
    <col min="39" max="46" width="8.83203125" style="3"/>
    <col min="47" max="47" width="13.5" style="3" customWidth="1"/>
    <col min="48" max="16384" width="8.83203125" style="3"/>
  </cols>
  <sheetData>
    <row r="1" spans="2:54" ht="14" thickBot="1" x14ac:dyDescent="0.2">
      <c r="B1" s="268" t="s">
        <v>75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R1" s="268" t="s">
        <v>96</v>
      </c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H1" s="268" t="s">
        <v>30</v>
      </c>
      <c r="AI1" s="268"/>
      <c r="AJ1" s="268"/>
      <c r="AL1" s="268" t="s">
        <v>39</v>
      </c>
      <c r="AM1" s="272"/>
      <c r="AN1" s="272"/>
      <c r="AO1" s="272"/>
      <c r="AP1" s="272"/>
      <c r="AQ1" s="272"/>
      <c r="AR1" s="272"/>
      <c r="AS1" s="272"/>
      <c r="AU1" s="268" t="s">
        <v>40</v>
      </c>
      <c r="AV1" s="272"/>
      <c r="AW1" s="272"/>
      <c r="AX1" s="272"/>
      <c r="AY1" s="272"/>
      <c r="AZ1" s="272"/>
      <c r="BA1" s="272"/>
      <c r="BB1" s="272"/>
    </row>
    <row r="2" spans="2:54" ht="14" thickBot="1" x14ac:dyDescent="0.2">
      <c r="B2" s="3"/>
      <c r="C2" s="3"/>
      <c r="D2" s="3"/>
      <c r="E2" s="3"/>
      <c r="I2" s="3"/>
      <c r="J2" s="3"/>
      <c r="K2" s="3"/>
      <c r="L2" s="3"/>
      <c r="M2" s="3"/>
      <c r="N2" s="3"/>
      <c r="O2" s="3"/>
      <c r="P2" s="3"/>
      <c r="R2" s="3"/>
      <c r="S2" s="3"/>
      <c r="T2" s="3"/>
      <c r="U2" s="3"/>
      <c r="Y2" s="3"/>
      <c r="Z2" s="3"/>
      <c r="AA2" s="3"/>
      <c r="AB2" s="3"/>
      <c r="AC2" s="3"/>
      <c r="AD2" s="3"/>
      <c r="AE2" s="3"/>
      <c r="AF2" s="3"/>
    </row>
    <row r="3" spans="2:54" x14ac:dyDescent="0.15">
      <c r="B3" s="274" t="s">
        <v>9</v>
      </c>
      <c r="C3" s="283"/>
      <c r="D3" s="283"/>
      <c r="E3" s="283"/>
      <c r="F3" s="283"/>
      <c r="G3" s="275"/>
      <c r="I3" s="266" t="s">
        <v>89</v>
      </c>
      <c r="J3" s="284"/>
      <c r="K3" s="284"/>
      <c r="L3" s="284"/>
      <c r="M3" s="284"/>
      <c r="N3" s="284"/>
      <c r="O3" s="267"/>
      <c r="P3" s="3"/>
      <c r="R3" s="274" t="s">
        <v>9</v>
      </c>
      <c r="S3" s="283"/>
      <c r="T3" s="283"/>
      <c r="U3" s="283"/>
      <c r="V3" s="283"/>
      <c r="W3" s="275"/>
      <c r="Y3" s="266" t="s">
        <v>89</v>
      </c>
      <c r="Z3" s="284"/>
      <c r="AA3" s="284"/>
      <c r="AB3" s="284"/>
      <c r="AC3" s="284"/>
      <c r="AD3" s="284"/>
      <c r="AE3" s="267"/>
      <c r="AF3" s="3"/>
      <c r="AH3" s="6" t="s">
        <v>171</v>
      </c>
      <c r="AI3" s="7">
        <v>2</v>
      </c>
      <c r="AM3" s="276" t="s">
        <v>1</v>
      </c>
      <c r="AN3" s="277"/>
      <c r="AO3" s="277"/>
      <c r="AP3" s="277"/>
      <c r="AQ3" s="277"/>
      <c r="AR3" s="277"/>
      <c r="AS3" s="277"/>
      <c r="AV3" s="276" t="s">
        <v>1</v>
      </c>
      <c r="AW3" s="277"/>
      <c r="AX3" s="277"/>
      <c r="AY3" s="277"/>
      <c r="AZ3" s="277"/>
      <c r="BA3" s="277"/>
      <c r="BB3" s="277"/>
    </row>
    <row r="4" spans="2:54" ht="14" thickBot="1" x14ac:dyDescent="0.2">
      <c r="B4" s="65" t="s">
        <v>16</v>
      </c>
      <c r="C4" s="102" t="s">
        <v>17</v>
      </c>
      <c r="D4" s="102" t="s">
        <v>76</v>
      </c>
      <c r="E4" s="102" t="s">
        <v>77</v>
      </c>
      <c r="F4" s="103" t="s">
        <v>78</v>
      </c>
      <c r="G4" s="104" t="s">
        <v>79</v>
      </c>
      <c r="I4" s="64"/>
      <c r="J4" s="105"/>
      <c r="K4" s="105"/>
      <c r="L4" s="105"/>
      <c r="M4" s="105"/>
      <c r="N4" s="105"/>
      <c r="O4" s="106"/>
      <c r="P4" s="3"/>
      <c r="R4" s="65" t="s">
        <v>20</v>
      </c>
      <c r="S4" s="65" t="s">
        <v>21</v>
      </c>
      <c r="T4" s="65" t="s">
        <v>98</v>
      </c>
      <c r="U4" s="65" t="s">
        <v>99</v>
      </c>
      <c r="V4" s="65" t="s">
        <v>100</v>
      </c>
      <c r="W4" s="65" t="s">
        <v>97</v>
      </c>
      <c r="Y4" s="64"/>
      <c r="Z4" s="105"/>
      <c r="AA4" s="105"/>
      <c r="AB4" s="105"/>
      <c r="AC4" s="105"/>
      <c r="AD4" s="105"/>
      <c r="AE4" s="106"/>
      <c r="AF4" s="3"/>
      <c r="AH4" s="10" t="s">
        <v>172</v>
      </c>
      <c r="AI4" s="11">
        <v>33</v>
      </c>
      <c r="AL4" s="107" t="s">
        <v>0</v>
      </c>
      <c r="AM4" s="50">
        <v>1</v>
      </c>
      <c r="AN4" s="50">
        <v>2</v>
      </c>
      <c r="AO4" s="50">
        <v>3</v>
      </c>
      <c r="AP4" s="50">
        <v>4</v>
      </c>
      <c r="AQ4" s="50">
        <v>5</v>
      </c>
      <c r="AR4" s="50">
        <v>6</v>
      </c>
      <c r="AS4" s="50">
        <v>7</v>
      </c>
      <c r="AU4" s="107" t="s">
        <v>0</v>
      </c>
      <c r="AV4" s="50">
        <v>1</v>
      </c>
      <c r="AW4" s="50">
        <v>2</v>
      </c>
      <c r="AX4" s="50">
        <v>3</v>
      </c>
      <c r="AY4" s="50">
        <v>4</v>
      </c>
      <c r="AZ4" s="50">
        <v>5</v>
      </c>
      <c r="BA4" s="50">
        <v>6</v>
      </c>
      <c r="BB4" s="50">
        <v>7</v>
      </c>
    </row>
    <row r="5" spans="2:54" ht="15" thickBot="1" x14ac:dyDescent="0.2">
      <c r="B5" s="4">
        <v>67</v>
      </c>
      <c r="C5" s="4">
        <v>66</v>
      </c>
      <c r="D5" s="4">
        <v>65</v>
      </c>
      <c r="I5" s="64" t="s">
        <v>80</v>
      </c>
      <c r="J5" s="108" t="s">
        <v>81</v>
      </c>
      <c r="K5" s="108" t="s">
        <v>2</v>
      </c>
      <c r="L5" s="109" t="s">
        <v>82</v>
      </c>
      <c r="M5" s="109" t="s">
        <v>83</v>
      </c>
      <c r="N5" s="109" t="s">
        <v>12</v>
      </c>
      <c r="O5" s="110" t="s">
        <v>84</v>
      </c>
      <c r="P5" s="3"/>
      <c r="R5" s="261">
        <v>67</v>
      </c>
      <c r="S5" s="261">
        <v>66</v>
      </c>
      <c r="T5" s="261">
        <v>65</v>
      </c>
      <c r="Y5" s="64" t="s">
        <v>80</v>
      </c>
      <c r="Z5" s="108" t="s">
        <v>81</v>
      </c>
      <c r="AA5" s="108" t="s">
        <v>2</v>
      </c>
      <c r="AB5" s="109" t="s">
        <v>82</v>
      </c>
      <c r="AC5" s="109" t="s">
        <v>83</v>
      </c>
      <c r="AD5" s="109" t="s">
        <v>12</v>
      </c>
      <c r="AE5" s="110" t="s">
        <v>84</v>
      </c>
      <c r="AF5" s="3"/>
      <c r="AH5" s="10" t="s">
        <v>162</v>
      </c>
      <c r="AI5" s="43">
        <v>0.05</v>
      </c>
      <c r="AL5" s="111">
        <v>1</v>
      </c>
      <c r="AM5" s="112">
        <f t="shared" ref="AM5:AS14" si="0">FINV(0.05,AM$4,$AL5)</f>
        <v>161.44763879758855</v>
      </c>
      <c r="AN5" s="113">
        <f t="shared" si="0"/>
        <v>199.49999999999994</v>
      </c>
      <c r="AO5" s="113">
        <f t="shared" si="0"/>
        <v>215.70734536960902</v>
      </c>
      <c r="AP5" s="113">
        <f t="shared" si="0"/>
        <v>224.58324062625078</v>
      </c>
      <c r="AQ5" s="113">
        <f t="shared" si="0"/>
        <v>230.16187811010678</v>
      </c>
      <c r="AR5" s="113">
        <f t="shared" si="0"/>
        <v>233.98600035626617</v>
      </c>
      <c r="AS5" s="114">
        <f t="shared" si="0"/>
        <v>236.76840027699524</v>
      </c>
      <c r="AU5" s="111">
        <v>1</v>
      </c>
      <c r="AV5" s="112">
        <f t="shared" ref="AV5:BB14" si="1">FINV(0.01,AV$4,$AL5)</f>
        <v>4052.1806954768263</v>
      </c>
      <c r="AW5" s="113">
        <f t="shared" si="1"/>
        <v>4999.4999999999955</v>
      </c>
      <c r="AX5" s="113">
        <f t="shared" si="1"/>
        <v>5403.3520137385403</v>
      </c>
      <c r="AY5" s="113">
        <f t="shared" si="1"/>
        <v>5624.5833296294431</v>
      </c>
      <c r="AZ5" s="113">
        <f t="shared" si="1"/>
        <v>5763.6495541557169</v>
      </c>
      <c r="BA5" s="113">
        <f t="shared" si="1"/>
        <v>5858.9861066861959</v>
      </c>
      <c r="BB5" s="114">
        <f t="shared" si="1"/>
        <v>5928.3557315865291</v>
      </c>
    </row>
    <row r="6" spans="2:54" ht="14" thickBot="1" x14ac:dyDescent="0.2">
      <c r="B6" s="4">
        <v>65</v>
      </c>
      <c r="C6" s="4">
        <v>94</v>
      </c>
      <c r="D6" s="4">
        <v>82</v>
      </c>
      <c r="I6" s="115" t="s">
        <v>86</v>
      </c>
      <c r="J6" s="86">
        <f>P32-P29^2/P31</f>
        <v>623.39999999999418</v>
      </c>
      <c r="K6" s="2">
        <f>J23-1</f>
        <v>2</v>
      </c>
      <c r="L6" s="86">
        <f>J6/K6</f>
        <v>311.69999999999709</v>
      </c>
      <c r="M6" s="116">
        <f>L6/L7</f>
        <v>0.92180551600253224</v>
      </c>
      <c r="N6" s="117">
        <f>FDIST(M6,K6,K7)</f>
        <v>0.409959360743123</v>
      </c>
      <c r="O6" s="118">
        <f>J6/J8</f>
        <v>6.3917483492596724E-2</v>
      </c>
      <c r="P6" s="3"/>
      <c r="R6" s="261">
        <v>65</v>
      </c>
      <c r="S6" s="261">
        <v>94</v>
      </c>
      <c r="T6" s="261">
        <v>82</v>
      </c>
      <c r="Y6" s="115" t="s">
        <v>105</v>
      </c>
      <c r="Z6" s="86">
        <f>AF34-AF31^2/AF33</f>
        <v>623.39999999999418</v>
      </c>
      <c r="AA6" s="2">
        <f>Z25-1</f>
        <v>2</v>
      </c>
      <c r="AB6" s="86">
        <f>Z6/AA6</f>
        <v>311.69999999999709</v>
      </c>
      <c r="AC6" s="116">
        <f>AB6/AB9</f>
        <v>4.0058546337283483</v>
      </c>
      <c r="AD6" s="117">
        <f>FDIST(AC6,AA6,AA9)</f>
        <v>3.6385849982072498E-2</v>
      </c>
      <c r="AE6" s="118">
        <f>Z6/(Z6+Z9)</f>
        <v>0.30800395256916707</v>
      </c>
      <c r="AF6" s="3"/>
      <c r="AH6" s="44" t="s">
        <v>173</v>
      </c>
      <c r="AI6" s="45">
        <f>FINV(AI5,AI3,AI4)</f>
        <v>3.2849176510382869</v>
      </c>
      <c r="AL6" s="111">
        <v>2</v>
      </c>
      <c r="AM6" s="119">
        <f t="shared" si="0"/>
        <v>18.512820512820511</v>
      </c>
      <c r="AN6" s="120">
        <f t="shared" si="0"/>
        <v>18.999999999999996</v>
      </c>
      <c r="AO6" s="120">
        <f t="shared" si="0"/>
        <v>19.164292127511288</v>
      </c>
      <c r="AP6" s="120">
        <f t="shared" si="0"/>
        <v>19.246794344808965</v>
      </c>
      <c r="AQ6" s="120">
        <f t="shared" si="0"/>
        <v>19.296409652017257</v>
      </c>
      <c r="AR6" s="120">
        <f t="shared" si="0"/>
        <v>19.329534015154028</v>
      </c>
      <c r="AS6" s="121">
        <f t="shared" si="0"/>
        <v>19.353217536092941</v>
      </c>
      <c r="AU6" s="111">
        <v>2</v>
      </c>
      <c r="AV6" s="119">
        <f t="shared" si="1"/>
        <v>98.50251256281409</v>
      </c>
      <c r="AW6" s="120">
        <f t="shared" si="1"/>
        <v>98.999999999999957</v>
      </c>
      <c r="AX6" s="120">
        <f t="shared" si="1"/>
        <v>99.166201374471555</v>
      </c>
      <c r="AY6" s="120">
        <f t="shared" si="1"/>
        <v>99.24937185533102</v>
      </c>
      <c r="AZ6" s="120">
        <f t="shared" si="1"/>
        <v>99.299296477864175</v>
      </c>
      <c r="BA6" s="120">
        <f t="shared" si="1"/>
        <v>99.332588865403423</v>
      </c>
      <c r="BB6" s="121">
        <f t="shared" si="1"/>
        <v>99.356373700187277</v>
      </c>
    </row>
    <row r="7" spans="2:54" x14ac:dyDescent="0.15">
      <c r="B7" s="4">
        <v>28</v>
      </c>
      <c r="C7" s="4">
        <v>41</v>
      </c>
      <c r="D7" s="4">
        <v>42</v>
      </c>
      <c r="I7" s="122" t="s">
        <v>87</v>
      </c>
      <c r="J7" s="86">
        <f>J8-J6</f>
        <v>9129.8000000000029</v>
      </c>
      <c r="K7" s="2">
        <f>K8-K6</f>
        <v>27</v>
      </c>
      <c r="L7" s="86">
        <f>J7/K7</f>
        <v>338.14074074074085</v>
      </c>
      <c r="M7" s="123"/>
      <c r="N7" s="123"/>
      <c r="O7" s="124"/>
      <c r="P7" s="3"/>
      <c r="R7" s="261">
        <v>28</v>
      </c>
      <c r="S7" s="261">
        <v>41</v>
      </c>
      <c r="T7" s="261">
        <v>42</v>
      </c>
      <c r="Y7" s="122" t="s">
        <v>106</v>
      </c>
      <c r="Z7" s="86">
        <f>Z10-Z6</f>
        <v>9129.8000000000029</v>
      </c>
      <c r="AA7" s="123">
        <f>AA10-AA6</f>
        <v>27</v>
      </c>
      <c r="AB7" s="86"/>
      <c r="AC7" s="123"/>
      <c r="AD7" s="123"/>
      <c r="AE7" s="124"/>
      <c r="AF7" s="3"/>
      <c r="AL7" s="111">
        <v>3</v>
      </c>
      <c r="AM7" s="119">
        <f t="shared" si="0"/>
        <v>10.127964486013932</v>
      </c>
      <c r="AN7" s="120">
        <f t="shared" si="0"/>
        <v>9.5520944959211587</v>
      </c>
      <c r="AO7" s="120">
        <f t="shared" si="0"/>
        <v>9.2766281531448112</v>
      </c>
      <c r="AP7" s="120">
        <f t="shared" si="0"/>
        <v>9.1171822532464244</v>
      </c>
      <c r="AQ7" s="120">
        <f t="shared" si="0"/>
        <v>9.0134551675225882</v>
      </c>
      <c r="AR7" s="120">
        <f t="shared" si="0"/>
        <v>8.9406451207703839</v>
      </c>
      <c r="AS7" s="121">
        <f t="shared" si="0"/>
        <v>8.886742955634281</v>
      </c>
      <c r="AU7" s="111">
        <v>3</v>
      </c>
      <c r="AV7" s="119">
        <f t="shared" si="1"/>
        <v>34.116221564529795</v>
      </c>
      <c r="AW7" s="120">
        <f t="shared" si="1"/>
        <v>30.816520350478257</v>
      </c>
      <c r="AX7" s="120">
        <f t="shared" si="1"/>
        <v>29.456695126754646</v>
      </c>
      <c r="AY7" s="120">
        <f t="shared" si="1"/>
        <v>28.7098983872982</v>
      </c>
      <c r="AZ7" s="120">
        <f t="shared" si="1"/>
        <v>28.237080837755048</v>
      </c>
      <c r="BA7" s="120">
        <f t="shared" si="1"/>
        <v>27.910657357696032</v>
      </c>
      <c r="BB7" s="121">
        <f t="shared" si="1"/>
        <v>27.671696070326174</v>
      </c>
    </row>
    <row r="8" spans="2:54" ht="14" thickBot="1" x14ac:dyDescent="0.2">
      <c r="B8" s="4">
        <v>43</v>
      </c>
      <c r="C8" s="4">
        <v>31</v>
      </c>
      <c r="D8" s="4">
        <v>55</v>
      </c>
      <c r="I8" s="125" t="s">
        <v>88</v>
      </c>
      <c r="J8" s="126">
        <f>P30-P29^2/P31</f>
        <v>9753.1999999999971</v>
      </c>
      <c r="K8" s="127">
        <f>P31-1</f>
        <v>29</v>
      </c>
      <c r="L8" s="127"/>
      <c r="M8" s="127"/>
      <c r="N8" s="127"/>
      <c r="O8" s="128"/>
      <c r="P8" s="3"/>
      <c r="R8" s="261">
        <v>43</v>
      </c>
      <c r="S8" s="261">
        <v>31</v>
      </c>
      <c r="T8" s="261">
        <v>55</v>
      </c>
      <c r="Y8" s="129" t="s">
        <v>104</v>
      </c>
      <c r="Z8" s="86">
        <f>SUM(AF37:AF100000)-AF31^2/AF33</f>
        <v>7729.1999999999971</v>
      </c>
      <c r="AA8" s="123">
        <f>Z27-1</f>
        <v>8.9999999999999982</v>
      </c>
      <c r="AB8" s="123"/>
      <c r="AC8" s="123"/>
      <c r="AD8" s="123"/>
      <c r="AE8" s="124"/>
      <c r="AH8" s="6" t="s">
        <v>171</v>
      </c>
      <c r="AI8" s="7">
        <v>2</v>
      </c>
      <c r="AL8" s="111">
        <v>4</v>
      </c>
      <c r="AM8" s="119">
        <f t="shared" si="0"/>
        <v>7.708647422176786</v>
      </c>
      <c r="AN8" s="120">
        <f t="shared" si="0"/>
        <v>6.9442719099991574</v>
      </c>
      <c r="AO8" s="120">
        <f t="shared" si="0"/>
        <v>6.5913821164255788</v>
      </c>
      <c r="AP8" s="120">
        <f t="shared" si="0"/>
        <v>6.38823290869587</v>
      </c>
      <c r="AQ8" s="120">
        <f t="shared" si="0"/>
        <v>6.2560565021608845</v>
      </c>
      <c r="AR8" s="120">
        <f t="shared" si="0"/>
        <v>6.1631322826886326</v>
      </c>
      <c r="AS8" s="121">
        <f t="shared" si="0"/>
        <v>6.0942109256988832</v>
      </c>
      <c r="AU8" s="111">
        <v>4</v>
      </c>
      <c r="AV8" s="119">
        <f t="shared" si="1"/>
        <v>21.197689584391309</v>
      </c>
      <c r="AW8" s="120">
        <f t="shared" si="1"/>
        <v>17.999999999999993</v>
      </c>
      <c r="AX8" s="120">
        <f t="shared" si="1"/>
        <v>16.694369237175085</v>
      </c>
      <c r="AY8" s="120">
        <f t="shared" si="1"/>
        <v>15.977024852557676</v>
      </c>
      <c r="AZ8" s="120">
        <f t="shared" si="1"/>
        <v>15.521857544425243</v>
      </c>
      <c r="BA8" s="120">
        <f t="shared" si="1"/>
        <v>15.206864861157531</v>
      </c>
      <c r="BB8" s="121">
        <f t="shared" si="1"/>
        <v>14.975757704446696</v>
      </c>
    </row>
    <row r="9" spans="2:54" ht="14" thickBot="1" x14ac:dyDescent="0.2">
      <c r="B9" s="4">
        <v>36</v>
      </c>
      <c r="C9" s="4">
        <v>53</v>
      </c>
      <c r="D9" s="4">
        <v>42</v>
      </c>
      <c r="I9" s="3"/>
      <c r="J9" s="3"/>
      <c r="K9" s="3"/>
      <c r="L9" s="3"/>
      <c r="M9" s="3"/>
      <c r="N9" s="3"/>
      <c r="O9" s="3"/>
      <c r="P9" s="3"/>
      <c r="R9" s="261">
        <v>36</v>
      </c>
      <c r="S9" s="261">
        <v>53</v>
      </c>
      <c r="T9" s="261">
        <v>42</v>
      </c>
      <c r="Y9" s="129" t="s">
        <v>103</v>
      </c>
      <c r="Z9" s="86">
        <f>Z7-Z8</f>
        <v>1400.6000000000058</v>
      </c>
      <c r="AA9" s="2">
        <f>AA7-AA8</f>
        <v>18</v>
      </c>
      <c r="AB9" s="86">
        <f>Z9/AA9</f>
        <v>77.81111111111143</v>
      </c>
      <c r="AC9" s="123"/>
      <c r="AD9" s="123"/>
      <c r="AE9" s="124"/>
      <c r="AH9" s="10" t="s">
        <v>172</v>
      </c>
      <c r="AI9" s="11">
        <v>33</v>
      </c>
      <c r="AL9" s="111">
        <v>5</v>
      </c>
      <c r="AM9" s="119">
        <f t="shared" si="0"/>
        <v>6.607890973703368</v>
      </c>
      <c r="AN9" s="120">
        <f t="shared" si="0"/>
        <v>5.786135043349967</v>
      </c>
      <c r="AO9" s="120">
        <f t="shared" si="0"/>
        <v>5.4094513180564894</v>
      </c>
      <c r="AP9" s="120">
        <f t="shared" si="0"/>
        <v>5.1921677728039226</v>
      </c>
      <c r="AQ9" s="120">
        <f t="shared" si="0"/>
        <v>5.0503290576326485</v>
      </c>
      <c r="AR9" s="120">
        <f t="shared" si="0"/>
        <v>4.9502880686943191</v>
      </c>
      <c r="AS9" s="121">
        <f t="shared" si="0"/>
        <v>4.8758716958339994</v>
      </c>
      <c r="AU9" s="111">
        <v>5</v>
      </c>
      <c r="AV9" s="119">
        <f t="shared" si="1"/>
        <v>16.258177039833654</v>
      </c>
      <c r="AW9" s="120">
        <f t="shared" si="1"/>
        <v>13.273933612004834</v>
      </c>
      <c r="AX9" s="120">
        <f t="shared" si="1"/>
        <v>12.059953691651989</v>
      </c>
      <c r="AY9" s="120">
        <f t="shared" si="1"/>
        <v>11.391928071349769</v>
      </c>
      <c r="AZ9" s="120">
        <f t="shared" si="1"/>
        <v>10.967020650907992</v>
      </c>
      <c r="BA9" s="120">
        <f t="shared" si="1"/>
        <v>10.672254792434337</v>
      </c>
      <c r="BB9" s="121">
        <f t="shared" si="1"/>
        <v>10.455510891760897</v>
      </c>
    </row>
    <row r="10" spans="2:54" ht="14" thickBot="1" x14ac:dyDescent="0.2">
      <c r="B10" s="4">
        <v>32</v>
      </c>
      <c r="C10" s="4">
        <v>36</v>
      </c>
      <c r="D10" s="4">
        <v>42</v>
      </c>
      <c r="I10" s="130" t="s">
        <v>10</v>
      </c>
      <c r="J10" s="131">
        <f>AVERAGE(B5:B100000)</f>
        <v>44.5</v>
      </c>
      <c r="K10" s="131">
        <f>AVERAGE(C5:C100000)</f>
        <v>51.1</v>
      </c>
      <c r="L10" s="131">
        <f>AVERAGE(D5:D100000)</f>
        <v>55.6</v>
      </c>
      <c r="M10" s="131">
        <f>IF($K$6&gt;=3,AVERAGE(E5:E100000),0)</f>
        <v>0</v>
      </c>
      <c r="N10" s="131">
        <f>IF($K$6&gt;=4,AVERAGE(F5:F100000),0)</f>
        <v>0</v>
      </c>
      <c r="O10" s="132">
        <f>IF($K$6&gt;=5,AVERAGE(G5:G100000),0)</f>
        <v>0</v>
      </c>
      <c r="P10" s="3"/>
      <c r="R10" s="261">
        <v>32</v>
      </c>
      <c r="S10" s="261">
        <v>36</v>
      </c>
      <c r="T10" s="261">
        <v>42</v>
      </c>
      <c r="Y10" s="125" t="s">
        <v>88</v>
      </c>
      <c r="Z10" s="126">
        <f>AF32-AF31^2/AF33</f>
        <v>9753.1999999999971</v>
      </c>
      <c r="AA10" s="127">
        <f>AF33-1</f>
        <v>29</v>
      </c>
      <c r="AB10" s="127"/>
      <c r="AC10" s="127"/>
      <c r="AD10" s="127"/>
      <c r="AE10" s="128"/>
      <c r="AF10" s="3"/>
      <c r="AH10" s="16" t="s">
        <v>173</v>
      </c>
      <c r="AI10" s="133">
        <v>4.5199999999999996</v>
      </c>
      <c r="AL10" s="111">
        <v>6</v>
      </c>
      <c r="AM10" s="119">
        <f t="shared" si="0"/>
        <v>5.9873776072737011</v>
      </c>
      <c r="AN10" s="120">
        <f t="shared" si="0"/>
        <v>5.1432528497847176</v>
      </c>
      <c r="AO10" s="120">
        <f t="shared" si="0"/>
        <v>4.7570626630894131</v>
      </c>
      <c r="AP10" s="120">
        <f t="shared" si="0"/>
        <v>4.5336769502752441</v>
      </c>
      <c r="AQ10" s="120">
        <f t="shared" si="0"/>
        <v>4.3873741874061292</v>
      </c>
      <c r="AR10" s="120">
        <f t="shared" si="0"/>
        <v>4.2838657138226397</v>
      </c>
      <c r="AS10" s="121">
        <f t="shared" si="0"/>
        <v>4.2066584878692064</v>
      </c>
      <c r="AU10" s="111">
        <v>6</v>
      </c>
      <c r="AV10" s="119">
        <f t="shared" si="1"/>
        <v>13.745022533304169</v>
      </c>
      <c r="AW10" s="120">
        <f t="shared" si="1"/>
        <v>10.924766500838338</v>
      </c>
      <c r="AX10" s="120">
        <f t="shared" si="1"/>
        <v>9.779538240923273</v>
      </c>
      <c r="AY10" s="120">
        <f t="shared" si="1"/>
        <v>9.1483010302278522</v>
      </c>
      <c r="AZ10" s="120">
        <f t="shared" si="1"/>
        <v>8.7458952560199172</v>
      </c>
      <c r="BA10" s="120">
        <f t="shared" si="1"/>
        <v>8.4661253404768946</v>
      </c>
      <c r="BB10" s="121">
        <f t="shared" si="1"/>
        <v>8.2599952709689841</v>
      </c>
    </row>
    <row r="11" spans="2:54" ht="14" thickBot="1" x14ac:dyDescent="0.2">
      <c r="B11" s="4">
        <v>37</v>
      </c>
      <c r="C11" s="4">
        <v>31</v>
      </c>
      <c r="D11" s="4">
        <v>32</v>
      </c>
      <c r="I11" s="134" t="s">
        <v>11</v>
      </c>
      <c r="J11" s="135">
        <f>_xlfn.STDEV.S(B5:B100000)</f>
        <v>15.565274741480723</v>
      </c>
      <c r="K11" s="135">
        <f>_xlfn.STDEV.S(C5:C100000)</f>
        <v>21.573903989156285</v>
      </c>
      <c r="L11" s="135">
        <f>_xlfn.STDEV.S(D5:D100000)</f>
        <v>17.513169647756836</v>
      </c>
      <c r="M11" s="135">
        <f>IF($K$6&gt;=3,_xlfn.STDEV.S(E5:E100000),0)</f>
        <v>0</v>
      </c>
      <c r="N11" s="135">
        <f>IF($K$6&gt;=4,_xlfn.STDEV.S(F5:F100000),0)</f>
        <v>0</v>
      </c>
      <c r="O11" s="136">
        <f>IF($K$6&gt;=5,_xlfn.STDEV.S(G5:G100000),0)</f>
        <v>0</v>
      </c>
      <c r="P11" s="3"/>
      <c r="R11" s="261">
        <v>37</v>
      </c>
      <c r="S11" s="261">
        <v>31</v>
      </c>
      <c r="T11" s="261">
        <v>32</v>
      </c>
      <c r="Y11" s="3"/>
      <c r="Z11" s="3"/>
      <c r="AA11" s="3"/>
      <c r="AB11" s="3"/>
      <c r="AC11" s="3"/>
      <c r="AD11" s="3"/>
      <c r="AE11" s="3"/>
      <c r="AF11" s="3"/>
      <c r="AH11" s="32" t="s">
        <v>122</v>
      </c>
      <c r="AI11" s="99">
        <f>FDIST(AI10,AI8,AI9)</f>
        <v>1.8409641722604529E-2</v>
      </c>
      <c r="AL11" s="111">
        <v>7</v>
      </c>
      <c r="AM11" s="119">
        <f t="shared" si="0"/>
        <v>5.591447851220738</v>
      </c>
      <c r="AN11" s="120">
        <f t="shared" si="0"/>
        <v>4.7374141277758826</v>
      </c>
      <c r="AO11" s="120">
        <f t="shared" si="0"/>
        <v>4.3468313999078179</v>
      </c>
      <c r="AP11" s="120">
        <f t="shared" si="0"/>
        <v>4.1203117268976337</v>
      </c>
      <c r="AQ11" s="120">
        <f t="shared" si="0"/>
        <v>3.971523150611342</v>
      </c>
      <c r="AR11" s="120">
        <f t="shared" si="0"/>
        <v>3.8659688531238445</v>
      </c>
      <c r="AS11" s="121">
        <f t="shared" si="0"/>
        <v>3.7870435399280704</v>
      </c>
      <c r="AU11" s="111">
        <v>7</v>
      </c>
      <c r="AV11" s="119">
        <f t="shared" si="1"/>
        <v>12.246383348435085</v>
      </c>
      <c r="AW11" s="120">
        <f t="shared" si="1"/>
        <v>9.5465780211022917</v>
      </c>
      <c r="AX11" s="120">
        <f t="shared" si="1"/>
        <v>8.4512850530799906</v>
      </c>
      <c r="AY11" s="120">
        <f t="shared" si="1"/>
        <v>7.8466450625466022</v>
      </c>
      <c r="AZ11" s="120">
        <f t="shared" si="1"/>
        <v>7.4604354929892667</v>
      </c>
      <c r="BA11" s="120">
        <f t="shared" si="1"/>
        <v>7.1914047852039982</v>
      </c>
      <c r="BB11" s="121">
        <f t="shared" si="1"/>
        <v>6.9928327787113798</v>
      </c>
    </row>
    <row r="12" spans="2:54" x14ac:dyDescent="0.15">
      <c r="B12" s="4">
        <v>61</v>
      </c>
      <c r="C12" s="4">
        <v>55</v>
      </c>
      <c r="D12" s="4">
        <v>82</v>
      </c>
      <c r="R12" s="261">
        <v>61</v>
      </c>
      <c r="S12" s="261">
        <v>55</v>
      </c>
      <c r="T12" s="261">
        <v>82</v>
      </c>
      <c r="Y12" s="130" t="s">
        <v>10</v>
      </c>
      <c r="Z12" s="131">
        <f>AVERAGE(R5:R100000)</f>
        <v>44.5</v>
      </c>
      <c r="AA12" s="131">
        <f>AVERAGE(S5:S100000)</f>
        <v>51.1</v>
      </c>
      <c r="AB12" s="131">
        <f>AVERAGE(T5:T100000)</f>
        <v>55.6</v>
      </c>
      <c r="AC12" s="131">
        <f>IF($Z$25&gt;3,AVERAGE(U5:U100000),0)</f>
        <v>0</v>
      </c>
      <c r="AD12" s="131">
        <f>IF($Z$25&gt;4,AVERAGE(V5:V100000),0)</f>
        <v>0</v>
      </c>
      <c r="AE12" s="132">
        <f>IF($Z$25&gt;5,AVERAGE(W5:W100000),0)</f>
        <v>0</v>
      </c>
      <c r="AF12" s="3"/>
      <c r="AL12" s="111">
        <v>8</v>
      </c>
      <c r="AM12" s="119">
        <f t="shared" si="0"/>
        <v>5.3176550715787174</v>
      </c>
      <c r="AN12" s="120">
        <f t="shared" si="0"/>
        <v>4.4589701075245118</v>
      </c>
      <c r="AO12" s="120">
        <f t="shared" si="0"/>
        <v>4.0661805513511613</v>
      </c>
      <c r="AP12" s="120">
        <f t="shared" si="0"/>
        <v>3.8378533545558975</v>
      </c>
      <c r="AQ12" s="120">
        <f t="shared" si="0"/>
        <v>3.6874986663400291</v>
      </c>
      <c r="AR12" s="120">
        <f t="shared" si="0"/>
        <v>3.5805803197614603</v>
      </c>
      <c r="AS12" s="121">
        <f t="shared" si="0"/>
        <v>3.500463855044941</v>
      </c>
      <c r="AU12" s="111">
        <v>8</v>
      </c>
      <c r="AV12" s="119">
        <f t="shared" si="1"/>
        <v>11.258624143272641</v>
      </c>
      <c r="AW12" s="120">
        <f t="shared" si="1"/>
        <v>8.6491106406735145</v>
      </c>
      <c r="AX12" s="120">
        <f t="shared" si="1"/>
        <v>7.5909919475988543</v>
      </c>
      <c r="AY12" s="120">
        <f t="shared" si="1"/>
        <v>7.006076622955586</v>
      </c>
      <c r="AZ12" s="120">
        <f t="shared" si="1"/>
        <v>6.6318251645095909</v>
      </c>
      <c r="BA12" s="120">
        <f t="shared" si="1"/>
        <v>6.3706807302391981</v>
      </c>
      <c r="BB12" s="121">
        <f t="shared" si="1"/>
        <v>6.177624260952248</v>
      </c>
    </row>
    <row r="13" spans="2:54" ht="14" thickBot="1" x14ac:dyDescent="0.2">
      <c r="B13" s="4">
        <v>51</v>
      </c>
      <c r="C13" s="4">
        <v>74</v>
      </c>
      <c r="D13" s="4">
        <v>66</v>
      </c>
      <c r="I13" s="52" t="s">
        <v>167</v>
      </c>
      <c r="J13" s="137">
        <v>3.51</v>
      </c>
      <c r="K13" s="281" t="s">
        <v>108</v>
      </c>
      <c r="L13" s="281"/>
      <c r="M13" s="281"/>
      <c r="N13" s="282"/>
      <c r="R13" s="261">
        <v>51</v>
      </c>
      <c r="S13" s="261">
        <v>74</v>
      </c>
      <c r="T13" s="261">
        <v>66</v>
      </c>
      <c r="Y13" s="134" t="s">
        <v>11</v>
      </c>
      <c r="Z13" s="135">
        <f>_xlfn.STDEV.S(R5:R100000)</f>
        <v>15.565274741480723</v>
      </c>
      <c r="AA13" s="135">
        <f>_xlfn.STDEV.S(S5:S100000)</f>
        <v>21.573903989156285</v>
      </c>
      <c r="AB13" s="135">
        <f>_xlfn.STDEV.S(T5:T100000)</f>
        <v>17.513169647756836</v>
      </c>
      <c r="AC13" s="135">
        <f>IF($Z$25&gt;3,_xlfn.STDEV.S(U5:U100000),0)</f>
        <v>0</v>
      </c>
      <c r="AD13" s="135">
        <f>IF($Z$25&gt;4,_xlfn.STDEV.S(V5:V100000),0)</f>
        <v>0</v>
      </c>
      <c r="AE13" s="136">
        <f>IF($Z$25&gt;5,_xlfn.STDEV.S(W5:W100000),0)</f>
        <v>0</v>
      </c>
      <c r="AF13" s="3"/>
      <c r="AL13" s="111">
        <v>9</v>
      </c>
      <c r="AM13" s="119">
        <f t="shared" si="0"/>
        <v>5.1173550291992269</v>
      </c>
      <c r="AN13" s="120">
        <f t="shared" si="0"/>
        <v>4.2564947290937507</v>
      </c>
      <c r="AO13" s="120">
        <f t="shared" si="0"/>
        <v>3.8625483576247648</v>
      </c>
      <c r="AP13" s="120">
        <f t="shared" si="0"/>
        <v>3.6330885114190816</v>
      </c>
      <c r="AQ13" s="120">
        <f t="shared" si="0"/>
        <v>3.4816586539015244</v>
      </c>
      <c r="AR13" s="120">
        <f t="shared" si="0"/>
        <v>3.373753647039214</v>
      </c>
      <c r="AS13" s="121">
        <f t="shared" si="0"/>
        <v>3.2927458389171207</v>
      </c>
      <c r="AU13" s="111">
        <v>9</v>
      </c>
      <c r="AV13" s="119">
        <f t="shared" si="1"/>
        <v>10.56143104739539</v>
      </c>
      <c r="AW13" s="120">
        <f t="shared" si="1"/>
        <v>8.0215173099320634</v>
      </c>
      <c r="AX13" s="120">
        <f t="shared" si="1"/>
        <v>6.9919172222334662</v>
      </c>
      <c r="AY13" s="120">
        <f t="shared" si="1"/>
        <v>6.422085458153199</v>
      </c>
      <c r="AZ13" s="120">
        <f t="shared" si="1"/>
        <v>6.05694071411867</v>
      </c>
      <c r="BA13" s="120">
        <f t="shared" si="1"/>
        <v>5.8017703065351292</v>
      </c>
      <c r="BB13" s="121">
        <f t="shared" si="1"/>
        <v>5.6128654773762401</v>
      </c>
    </row>
    <row r="14" spans="2:54" ht="14" thickBot="1" x14ac:dyDescent="0.2">
      <c r="B14" s="4">
        <v>25</v>
      </c>
      <c r="C14" s="4">
        <v>30</v>
      </c>
      <c r="D14" s="4">
        <v>48</v>
      </c>
      <c r="R14" s="261">
        <v>25</v>
      </c>
      <c r="S14" s="261">
        <v>30</v>
      </c>
      <c r="T14" s="261">
        <v>48</v>
      </c>
      <c r="AL14" s="111">
        <v>10</v>
      </c>
      <c r="AM14" s="119">
        <f t="shared" si="0"/>
        <v>4.9646027437307128</v>
      </c>
      <c r="AN14" s="120">
        <f t="shared" si="0"/>
        <v>4.1028210151304032</v>
      </c>
      <c r="AO14" s="120">
        <f t="shared" si="0"/>
        <v>3.7082648190468448</v>
      </c>
      <c r="AP14" s="120">
        <f t="shared" si="0"/>
        <v>3.4780496907652281</v>
      </c>
      <c r="AQ14" s="120">
        <f t="shared" si="0"/>
        <v>3.325834530413013</v>
      </c>
      <c r="AR14" s="120">
        <f t="shared" si="0"/>
        <v>3.217174547398995</v>
      </c>
      <c r="AS14" s="121">
        <f t="shared" si="0"/>
        <v>3.1354648046263263</v>
      </c>
      <c r="AU14" s="111">
        <v>10</v>
      </c>
      <c r="AV14" s="119">
        <f t="shared" si="1"/>
        <v>10.044289273396597</v>
      </c>
      <c r="AW14" s="120">
        <f t="shared" si="1"/>
        <v>7.5594321575479011</v>
      </c>
      <c r="AX14" s="120">
        <f t="shared" si="1"/>
        <v>6.5523125575152115</v>
      </c>
      <c r="AY14" s="120">
        <f t="shared" si="1"/>
        <v>5.9943386616293672</v>
      </c>
      <c r="AZ14" s="120">
        <f t="shared" si="1"/>
        <v>5.6363261876690833</v>
      </c>
      <c r="BA14" s="120">
        <f t="shared" si="1"/>
        <v>5.3858110448457959</v>
      </c>
      <c r="BB14" s="121">
        <f t="shared" si="1"/>
        <v>5.200121250549973</v>
      </c>
    </row>
    <row r="15" spans="2:54" x14ac:dyDescent="0.15">
      <c r="I15" s="138" t="s">
        <v>90</v>
      </c>
      <c r="J15" s="139">
        <v>1</v>
      </c>
      <c r="K15" s="139">
        <v>2</v>
      </c>
      <c r="L15" s="139">
        <v>3</v>
      </c>
      <c r="M15" s="139">
        <v>4</v>
      </c>
      <c r="N15" s="139">
        <v>5</v>
      </c>
      <c r="O15" s="140">
        <v>6</v>
      </c>
      <c r="Y15" s="52" t="s">
        <v>167</v>
      </c>
      <c r="Z15" s="137">
        <v>3.61</v>
      </c>
      <c r="AA15" s="281" t="s">
        <v>108</v>
      </c>
      <c r="AB15" s="281"/>
      <c r="AC15" s="281"/>
      <c r="AD15" s="282"/>
      <c r="AL15" s="111">
        <v>11</v>
      </c>
      <c r="AM15" s="119">
        <f t="shared" ref="AM15:AS24" si="2">FINV(0.05,AM$4,$AL15)</f>
        <v>4.8443356749436166</v>
      </c>
      <c r="AN15" s="120">
        <f t="shared" si="2"/>
        <v>3.9822979570944854</v>
      </c>
      <c r="AO15" s="120">
        <f t="shared" si="2"/>
        <v>3.5874337024204954</v>
      </c>
      <c r="AP15" s="120">
        <f t="shared" si="2"/>
        <v>3.3566900211325938</v>
      </c>
      <c r="AQ15" s="120">
        <f t="shared" si="2"/>
        <v>3.2038742627296211</v>
      </c>
      <c r="AR15" s="120">
        <f t="shared" si="2"/>
        <v>3.0946128879091401</v>
      </c>
      <c r="AS15" s="121">
        <f t="shared" si="2"/>
        <v>3.012330343043101</v>
      </c>
      <c r="AU15" s="111">
        <v>11</v>
      </c>
      <c r="AV15" s="119">
        <f t="shared" ref="AV15:BB24" si="3">FINV(0.01,AV$4,$AL15)</f>
        <v>9.6460341119662498</v>
      </c>
      <c r="AW15" s="120">
        <f t="shared" si="3"/>
        <v>7.2057133504573807</v>
      </c>
      <c r="AX15" s="120">
        <f t="shared" si="3"/>
        <v>6.2167298115386522</v>
      </c>
      <c r="AY15" s="120">
        <f t="shared" si="3"/>
        <v>5.6683002128787736</v>
      </c>
      <c r="AZ15" s="120">
        <f t="shared" si="3"/>
        <v>5.3160089186084933</v>
      </c>
      <c r="BA15" s="120">
        <f t="shared" si="3"/>
        <v>5.0692104311952635</v>
      </c>
      <c r="BB15" s="121">
        <f t="shared" si="3"/>
        <v>4.8860720392128734</v>
      </c>
    </row>
    <row r="16" spans="2:54" ht="14" thickBot="1" x14ac:dyDescent="0.2">
      <c r="I16" s="141">
        <v>1</v>
      </c>
      <c r="J16" s="142" t="s">
        <v>91</v>
      </c>
      <c r="K16" s="123"/>
      <c r="L16" s="123"/>
      <c r="M16" s="123"/>
      <c r="N16" s="123"/>
      <c r="O16" s="124"/>
      <c r="AL16" s="111">
        <v>12</v>
      </c>
      <c r="AM16" s="119">
        <f t="shared" si="2"/>
        <v>4.7472253467225149</v>
      </c>
      <c r="AN16" s="120">
        <f t="shared" si="2"/>
        <v>3.8852938346523942</v>
      </c>
      <c r="AO16" s="120">
        <f t="shared" si="2"/>
        <v>3.4902948194976045</v>
      </c>
      <c r="AP16" s="120">
        <f t="shared" si="2"/>
        <v>3.2591667269012499</v>
      </c>
      <c r="AQ16" s="120">
        <f t="shared" si="2"/>
        <v>3.1058752390841229</v>
      </c>
      <c r="AR16" s="120">
        <f t="shared" si="2"/>
        <v>2.996120377517109</v>
      </c>
      <c r="AS16" s="121">
        <f t="shared" si="2"/>
        <v>2.9133581790111962</v>
      </c>
      <c r="AU16" s="111">
        <v>12</v>
      </c>
      <c r="AV16" s="119">
        <f t="shared" si="3"/>
        <v>9.3302121031685576</v>
      </c>
      <c r="AW16" s="120">
        <f t="shared" si="3"/>
        <v>6.9266081401913002</v>
      </c>
      <c r="AX16" s="120">
        <f t="shared" si="3"/>
        <v>5.9525446815458682</v>
      </c>
      <c r="AY16" s="120">
        <f t="shared" si="3"/>
        <v>5.4119514344731394</v>
      </c>
      <c r="AZ16" s="120">
        <f t="shared" si="3"/>
        <v>5.0643431111429162</v>
      </c>
      <c r="BA16" s="120">
        <f t="shared" si="3"/>
        <v>4.8205735018803084</v>
      </c>
      <c r="BB16" s="121">
        <f t="shared" si="3"/>
        <v>4.6395024465643369</v>
      </c>
    </row>
    <row r="17" spans="9:54" x14ac:dyDescent="0.15">
      <c r="I17" s="141">
        <v>2</v>
      </c>
      <c r="J17" s="2" t="b">
        <f>ABS(J$10-K$10)&gt;$J$26</f>
        <v>0</v>
      </c>
      <c r="K17" s="142" t="s">
        <v>91</v>
      </c>
      <c r="L17" s="123"/>
      <c r="M17" s="123"/>
      <c r="N17" s="123"/>
      <c r="O17" s="124"/>
      <c r="Y17" s="138" t="s">
        <v>90</v>
      </c>
      <c r="Z17" s="139">
        <v>1</v>
      </c>
      <c r="AA17" s="139">
        <v>2</v>
      </c>
      <c r="AB17" s="139">
        <v>3</v>
      </c>
      <c r="AC17" s="139">
        <v>4</v>
      </c>
      <c r="AD17" s="139">
        <v>5</v>
      </c>
      <c r="AE17" s="140">
        <v>6</v>
      </c>
      <c r="AL17" s="111">
        <v>13</v>
      </c>
      <c r="AM17" s="119">
        <f t="shared" si="2"/>
        <v>4.6671927318268525</v>
      </c>
      <c r="AN17" s="120">
        <f t="shared" si="2"/>
        <v>3.8055652529780568</v>
      </c>
      <c r="AO17" s="120">
        <f t="shared" si="2"/>
        <v>3.4105336446278485</v>
      </c>
      <c r="AP17" s="120">
        <f t="shared" si="2"/>
        <v>3.1791170525401871</v>
      </c>
      <c r="AQ17" s="120">
        <f t="shared" si="2"/>
        <v>3.0254383000982594</v>
      </c>
      <c r="AR17" s="120">
        <f t="shared" si="2"/>
        <v>2.9152692387027517</v>
      </c>
      <c r="AS17" s="121">
        <f t="shared" si="2"/>
        <v>2.8320975016349399</v>
      </c>
      <c r="AU17" s="111">
        <v>13</v>
      </c>
      <c r="AV17" s="119">
        <f t="shared" si="3"/>
        <v>9.0738057285156639</v>
      </c>
      <c r="AW17" s="120">
        <f t="shared" si="3"/>
        <v>6.7009645358807814</v>
      </c>
      <c r="AX17" s="120">
        <f t="shared" si="3"/>
        <v>5.739380282773376</v>
      </c>
      <c r="AY17" s="120">
        <f t="shared" si="3"/>
        <v>5.2053301894162436</v>
      </c>
      <c r="AZ17" s="120">
        <f t="shared" si="3"/>
        <v>4.8616212079068015</v>
      </c>
      <c r="BA17" s="120">
        <f t="shared" si="3"/>
        <v>4.6203633955848549</v>
      </c>
      <c r="BB17" s="121">
        <f t="shared" si="3"/>
        <v>4.4409974106651164</v>
      </c>
    </row>
    <row r="18" spans="9:54" x14ac:dyDescent="0.15">
      <c r="I18" s="141">
        <v>3</v>
      </c>
      <c r="J18" s="2" t="b">
        <f>ABS(J$10-L$10)&gt;$J$26</f>
        <v>0</v>
      </c>
      <c r="K18" s="2" t="b">
        <f>ABS(K$10-L$10)&gt;$J$26</f>
        <v>0</v>
      </c>
      <c r="L18" s="142" t="s">
        <v>91</v>
      </c>
      <c r="M18" s="123"/>
      <c r="N18" s="123"/>
      <c r="O18" s="124"/>
      <c r="Y18" s="141">
        <v>1</v>
      </c>
      <c r="Z18" s="142" t="s">
        <v>91</v>
      </c>
      <c r="AA18" s="123"/>
      <c r="AB18" s="123"/>
      <c r="AC18" s="123"/>
      <c r="AD18" s="123"/>
      <c r="AE18" s="124"/>
      <c r="AL18" s="111">
        <v>14</v>
      </c>
      <c r="AM18" s="119">
        <f t="shared" si="2"/>
        <v>4.6001099366694227</v>
      </c>
      <c r="AN18" s="120">
        <f t="shared" si="2"/>
        <v>3.7388918324407361</v>
      </c>
      <c r="AO18" s="120">
        <f t="shared" si="2"/>
        <v>3.3438886781189128</v>
      </c>
      <c r="AP18" s="120">
        <f t="shared" si="2"/>
        <v>3.1122498479613889</v>
      </c>
      <c r="AQ18" s="120">
        <f t="shared" si="2"/>
        <v>2.9582489131221967</v>
      </c>
      <c r="AR18" s="120">
        <f t="shared" si="2"/>
        <v>2.8477259959253578</v>
      </c>
      <c r="AS18" s="121">
        <f t="shared" si="2"/>
        <v>2.7641992567781792</v>
      </c>
      <c r="AU18" s="111">
        <v>14</v>
      </c>
      <c r="AV18" s="119">
        <f t="shared" si="3"/>
        <v>8.8615926651764276</v>
      </c>
      <c r="AW18" s="120">
        <f t="shared" si="3"/>
        <v>6.5148841021827506</v>
      </c>
      <c r="AX18" s="120">
        <f t="shared" si="3"/>
        <v>5.5638858396937421</v>
      </c>
      <c r="AY18" s="120">
        <f t="shared" si="3"/>
        <v>5.0353779733294379</v>
      </c>
      <c r="AZ18" s="120">
        <f t="shared" si="3"/>
        <v>4.694963579397716</v>
      </c>
      <c r="BA18" s="120">
        <f t="shared" si="3"/>
        <v>4.4558200259277569</v>
      </c>
      <c r="BB18" s="121">
        <f t="shared" si="3"/>
        <v>4.2778818532656411</v>
      </c>
    </row>
    <row r="19" spans="9:54" x14ac:dyDescent="0.15">
      <c r="I19" s="141">
        <v>4</v>
      </c>
      <c r="J19" s="2" t="str">
        <f>IF($J$23&gt;3,ABS(J$10-M$10)&gt;$J$26,"---")</f>
        <v>---</v>
      </c>
      <c r="K19" s="2" t="str">
        <f>IF($J$23&gt;3,ABS(K$10-M$10)&gt;$J$26,"---")</f>
        <v>---</v>
      </c>
      <c r="L19" s="2" t="str">
        <f>IF($J$23&gt;3,ABS(L$10-M$10)&gt;$J$26,"---")</f>
        <v>---</v>
      </c>
      <c r="M19" s="142" t="s">
        <v>91</v>
      </c>
      <c r="N19" s="123"/>
      <c r="O19" s="124"/>
      <c r="Y19" s="141">
        <v>2</v>
      </c>
      <c r="Z19" s="2" t="b">
        <f>ABS(Z$12-AA$12)&gt;$Z$28</f>
        <v>0</v>
      </c>
      <c r="AA19" s="142" t="s">
        <v>91</v>
      </c>
      <c r="AB19" s="123"/>
      <c r="AC19" s="123"/>
      <c r="AD19" s="123"/>
      <c r="AE19" s="124"/>
      <c r="AL19" s="111">
        <v>15</v>
      </c>
      <c r="AM19" s="119">
        <f t="shared" si="2"/>
        <v>4.5430771652669701</v>
      </c>
      <c r="AN19" s="120">
        <f t="shared" si="2"/>
        <v>3.6823203436732408</v>
      </c>
      <c r="AO19" s="120">
        <f t="shared" si="2"/>
        <v>3.2873821046365093</v>
      </c>
      <c r="AP19" s="120">
        <f t="shared" si="2"/>
        <v>3.055568275906595</v>
      </c>
      <c r="AQ19" s="120">
        <f t="shared" si="2"/>
        <v>2.9012945362361564</v>
      </c>
      <c r="AR19" s="120">
        <f t="shared" si="2"/>
        <v>2.7904649973675064</v>
      </c>
      <c r="AS19" s="121">
        <f t="shared" si="2"/>
        <v>2.7066267822256944</v>
      </c>
      <c r="AU19" s="111">
        <v>15</v>
      </c>
      <c r="AV19" s="119">
        <f t="shared" si="3"/>
        <v>8.6831168176389504</v>
      </c>
      <c r="AW19" s="120">
        <f t="shared" si="3"/>
        <v>6.3588734806671825</v>
      </c>
      <c r="AX19" s="120">
        <f t="shared" si="3"/>
        <v>5.4169648578184191</v>
      </c>
      <c r="AY19" s="120">
        <f t="shared" si="3"/>
        <v>4.8932095893215815</v>
      </c>
      <c r="AZ19" s="120">
        <f t="shared" si="3"/>
        <v>4.5556139846530046</v>
      </c>
      <c r="BA19" s="120">
        <f t="shared" si="3"/>
        <v>4.3182730537670349</v>
      </c>
      <c r="BB19" s="121">
        <f t="shared" si="3"/>
        <v>4.1415463070309544</v>
      </c>
    </row>
    <row r="20" spans="9:54" x14ac:dyDescent="0.15">
      <c r="I20" s="141">
        <v>5</v>
      </c>
      <c r="J20" s="2" t="str">
        <f>IF($J$23&gt;4,ABS(J$10-N$10)&gt;$J$26,"---")</f>
        <v>---</v>
      </c>
      <c r="K20" s="2" t="str">
        <f>IF($J$23&gt;4,ABS(K$10-N$10)&gt;$J$26,"---")</f>
        <v>---</v>
      </c>
      <c r="L20" s="2" t="str">
        <f>IF($J$23&gt;4,ABS(L$10-N$10)&gt;$J$26,"---")</f>
        <v>---</v>
      </c>
      <c r="M20" s="2" t="str">
        <f>IF($J$23&gt;4,ABS(M$10-N$10)&gt;$J$26,"---")</f>
        <v>---</v>
      </c>
      <c r="N20" s="142" t="s">
        <v>91</v>
      </c>
      <c r="O20" s="124"/>
      <c r="Y20" s="141">
        <v>3</v>
      </c>
      <c r="Z20" s="2" t="b">
        <f>ABS(Z$12-AB$12)&gt;$Z$28</f>
        <v>1</v>
      </c>
      <c r="AA20" s="2" t="b">
        <f>ABS(AA$12-AB$12)&gt;$Z$28</f>
        <v>0</v>
      </c>
      <c r="AB20" s="142" t="s">
        <v>91</v>
      </c>
      <c r="AC20" s="123"/>
      <c r="AD20" s="123"/>
      <c r="AE20" s="124"/>
      <c r="AL20" s="111">
        <v>16</v>
      </c>
      <c r="AM20" s="119">
        <f t="shared" si="2"/>
        <v>4.4939984776663584</v>
      </c>
      <c r="AN20" s="120">
        <f t="shared" si="2"/>
        <v>3.6337234675916301</v>
      </c>
      <c r="AO20" s="120">
        <f t="shared" si="2"/>
        <v>3.2388715174535854</v>
      </c>
      <c r="AP20" s="120">
        <f t="shared" si="2"/>
        <v>3.0069172799243447</v>
      </c>
      <c r="AQ20" s="120">
        <f t="shared" si="2"/>
        <v>2.8524091650819878</v>
      </c>
      <c r="AR20" s="120">
        <f t="shared" si="2"/>
        <v>2.7413108283387784</v>
      </c>
      <c r="AS20" s="121">
        <f t="shared" si="2"/>
        <v>2.6571966002210874</v>
      </c>
      <c r="AU20" s="111">
        <v>16</v>
      </c>
      <c r="AV20" s="119">
        <f t="shared" si="3"/>
        <v>8.5309652858962011</v>
      </c>
      <c r="AW20" s="120">
        <f t="shared" si="3"/>
        <v>6.2262352803113821</v>
      </c>
      <c r="AX20" s="120">
        <f t="shared" si="3"/>
        <v>5.2922140455209483</v>
      </c>
      <c r="AY20" s="120">
        <f t="shared" si="3"/>
        <v>4.772577999723211</v>
      </c>
      <c r="AZ20" s="120">
        <f t="shared" si="3"/>
        <v>4.4374204955396026</v>
      </c>
      <c r="BA20" s="120">
        <f t="shared" si="3"/>
        <v>4.2016337042750695</v>
      </c>
      <c r="BB20" s="121">
        <f t="shared" si="3"/>
        <v>4.0259465906650673</v>
      </c>
    </row>
    <row r="21" spans="9:54" ht="14" thickBot="1" x14ac:dyDescent="0.2">
      <c r="I21" s="143">
        <v>6</v>
      </c>
      <c r="J21" s="144" t="str">
        <f>IF($J$23&gt;5,ABS(J$10-O$10)&gt;$J$26,"---")</f>
        <v>---</v>
      </c>
      <c r="K21" s="144" t="str">
        <f>IF($J$23&gt;5,ABS(K$10-O$10)&gt;$J$26,"---")</f>
        <v>---</v>
      </c>
      <c r="L21" s="144" t="str">
        <f>IF($J$23&gt;5,ABS(L$10-O$10)&gt;$J$26,"---")</f>
        <v>---</v>
      </c>
      <c r="M21" s="144" t="str">
        <f>IF($J$23&gt;5,ABS(M$10-O$10)&gt;$J$26,"---")</f>
        <v>---</v>
      </c>
      <c r="N21" s="144" t="str">
        <f>IF($J$23&gt;5,ABS(N$10-O$10)&gt;$J$26,"---")</f>
        <v>---</v>
      </c>
      <c r="O21" s="145" t="s">
        <v>91</v>
      </c>
      <c r="Y21" s="141">
        <v>4</v>
      </c>
      <c r="Z21" s="2" t="str">
        <f>IF($Z$25&gt;3,ABS(Z$12-AC$12)&gt;$Z$28,"---")</f>
        <v>---</v>
      </c>
      <c r="AA21" s="2" t="str">
        <f>IF($Z$25&gt;3,ABS(AA$12-AC$12)&gt;$Z$28,"---")</f>
        <v>---</v>
      </c>
      <c r="AB21" s="2" t="str">
        <f>IF($Z$25&gt;3,ABS(AB$12-AC$12)&gt;$Z$28,"---")</f>
        <v>---</v>
      </c>
      <c r="AC21" s="142" t="s">
        <v>91</v>
      </c>
      <c r="AD21" s="123"/>
      <c r="AE21" s="124"/>
      <c r="AL21" s="111">
        <v>17</v>
      </c>
      <c r="AM21" s="119">
        <f t="shared" si="2"/>
        <v>4.4513217724681331</v>
      </c>
      <c r="AN21" s="120">
        <f t="shared" si="2"/>
        <v>3.5915305684750827</v>
      </c>
      <c r="AO21" s="120">
        <f t="shared" si="2"/>
        <v>3.1967768409433446</v>
      </c>
      <c r="AP21" s="120">
        <f t="shared" si="2"/>
        <v>2.9647081100410797</v>
      </c>
      <c r="AQ21" s="120">
        <f t="shared" si="2"/>
        <v>2.8099961745295974</v>
      </c>
      <c r="AR21" s="120">
        <f t="shared" si="2"/>
        <v>2.6986599016298731</v>
      </c>
      <c r="AS21" s="121">
        <f t="shared" si="2"/>
        <v>2.6142990451333183</v>
      </c>
      <c r="AU21" s="111">
        <v>17</v>
      </c>
      <c r="AV21" s="119">
        <f t="shared" si="3"/>
        <v>8.3997401451896341</v>
      </c>
      <c r="AW21" s="120">
        <f t="shared" si="3"/>
        <v>6.1121137157978822</v>
      </c>
      <c r="AX21" s="120">
        <f t="shared" si="3"/>
        <v>5.1849999172952197</v>
      </c>
      <c r="AY21" s="120">
        <f t="shared" si="3"/>
        <v>4.6689676019514152</v>
      </c>
      <c r="AZ21" s="120">
        <f t="shared" si="3"/>
        <v>4.3359390831830762</v>
      </c>
      <c r="BA21" s="120">
        <f t="shared" si="3"/>
        <v>4.101505325976615</v>
      </c>
      <c r="BB21" s="121">
        <f t="shared" si="3"/>
        <v>3.9267193882777263</v>
      </c>
    </row>
    <row r="22" spans="9:54" x14ac:dyDescent="0.15">
      <c r="Y22" s="141">
        <v>5</v>
      </c>
      <c r="Z22" s="2" t="str">
        <f>IF($Z$25&gt;4,ABS(Z$12-AD$12)&gt;$Z$28,"---")</f>
        <v>---</v>
      </c>
      <c r="AA22" s="2" t="str">
        <f>IF($Z$25&gt;4,ABS(AA$12-AD$12)&gt;$Z$28,"---")</f>
        <v>---</v>
      </c>
      <c r="AB22" s="2" t="str">
        <f>IF($Z$25&gt;4,ABS(AB$12-AD$12)&gt;$Z$28,"---")</f>
        <v>---</v>
      </c>
      <c r="AC22" s="2" t="str">
        <f>IF($Z$25&gt;4,ABS(AC$12-AD$12)&gt;$Z$28,"---")</f>
        <v>---</v>
      </c>
      <c r="AD22" s="142" t="s">
        <v>91</v>
      </c>
      <c r="AE22" s="124"/>
      <c r="AL22" s="111">
        <v>18</v>
      </c>
      <c r="AM22" s="119">
        <f t="shared" si="2"/>
        <v>4.4138734191705664</v>
      </c>
      <c r="AN22" s="120">
        <f t="shared" si="2"/>
        <v>3.5545571456617879</v>
      </c>
      <c r="AO22" s="120">
        <f t="shared" si="2"/>
        <v>3.1599075898007243</v>
      </c>
      <c r="AP22" s="120">
        <f t="shared" si="2"/>
        <v>2.9277441728071834</v>
      </c>
      <c r="AQ22" s="120">
        <f t="shared" si="2"/>
        <v>2.77285315299783</v>
      </c>
      <c r="AR22" s="120">
        <f t="shared" si="2"/>
        <v>2.6613045229279009</v>
      </c>
      <c r="AS22" s="121">
        <f t="shared" si="2"/>
        <v>2.5767217292599147</v>
      </c>
      <c r="AU22" s="111">
        <v>18</v>
      </c>
      <c r="AV22" s="119">
        <f t="shared" si="3"/>
        <v>8.2854195550996597</v>
      </c>
      <c r="AW22" s="120">
        <f t="shared" si="3"/>
        <v>6.0129048348005281</v>
      </c>
      <c r="AX22" s="120">
        <f t="shared" si="3"/>
        <v>5.0918895204140124</v>
      </c>
      <c r="AY22" s="120">
        <f t="shared" si="3"/>
        <v>4.5790359665984486</v>
      </c>
      <c r="AZ22" s="120">
        <f t="shared" si="3"/>
        <v>4.2478821502317352</v>
      </c>
      <c r="BA22" s="120">
        <f t="shared" si="3"/>
        <v>4.0146365073547567</v>
      </c>
      <c r="BB22" s="121">
        <f t="shared" si="3"/>
        <v>3.8406386598979738</v>
      </c>
    </row>
    <row r="23" spans="9:54" ht="14" thickBot="1" x14ac:dyDescent="0.2">
      <c r="I23" s="146" t="s">
        <v>168</v>
      </c>
      <c r="J23" s="22">
        <f>COUNT(B5:G5)</f>
        <v>3</v>
      </c>
      <c r="Y23" s="143">
        <v>6</v>
      </c>
      <c r="Z23" s="262" t="str">
        <f>IF($Z$25&gt;5,ABS(Z$12-AE$12)&gt;$Z$28,"---")</f>
        <v>---</v>
      </c>
      <c r="AA23" s="144" t="str">
        <f>IF($Z$25&gt;5,ABS(AA$12-AE$12)&gt;$Z$28,"---")</f>
        <v>---</v>
      </c>
      <c r="AB23" s="144" t="str">
        <f>IF($Z$25&gt;5,ABS(AB$12-AE$12)&gt;$Z$28,"---")</f>
        <v>---</v>
      </c>
      <c r="AC23" s="144" t="str">
        <f>IF($Z$25&gt;5,ABS(AC$12-AE$12)&gt;$Z$28,"---")</f>
        <v>---</v>
      </c>
      <c r="AD23" s="144" t="str">
        <f>IF($Z$25&gt;5,ABS(AD$12-AE$12)&gt;$Z$28,"---")</f>
        <v>---</v>
      </c>
      <c r="AE23" s="145" t="s">
        <v>91</v>
      </c>
      <c r="AL23" s="111">
        <v>19</v>
      </c>
      <c r="AM23" s="119">
        <f t="shared" si="2"/>
        <v>4.3807496923317979</v>
      </c>
      <c r="AN23" s="120">
        <f t="shared" si="2"/>
        <v>3.521893260578826</v>
      </c>
      <c r="AO23" s="120">
        <f t="shared" si="2"/>
        <v>3.1273500051133998</v>
      </c>
      <c r="AP23" s="120">
        <f t="shared" si="2"/>
        <v>2.8951073075078422</v>
      </c>
      <c r="AQ23" s="120">
        <f t="shared" si="2"/>
        <v>2.7400575416853457</v>
      </c>
      <c r="AR23" s="120">
        <f t="shared" si="2"/>
        <v>2.628318038338513</v>
      </c>
      <c r="AS23" s="121">
        <f t="shared" si="2"/>
        <v>2.5435343014297049</v>
      </c>
      <c r="AU23" s="111">
        <v>19</v>
      </c>
      <c r="AV23" s="119">
        <f t="shared" si="3"/>
        <v>8.184946822468925</v>
      </c>
      <c r="AW23" s="120">
        <f t="shared" si="3"/>
        <v>5.9258790222928566</v>
      </c>
      <c r="AX23" s="120">
        <f t="shared" si="3"/>
        <v>5.0102868436196015</v>
      </c>
      <c r="AY23" s="120">
        <f t="shared" si="3"/>
        <v>4.5002576989066974</v>
      </c>
      <c r="AZ23" s="120">
        <f t="shared" si="3"/>
        <v>4.1707669806148076</v>
      </c>
      <c r="BA23" s="120">
        <f t="shared" si="3"/>
        <v>3.9385726154799414</v>
      </c>
      <c r="BB23" s="121">
        <f t="shared" si="3"/>
        <v>3.7652693946393363</v>
      </c>
    </row>
    <row r="24" spans="9:54" x14ac:dyDescent="0.15">
      <c r="J24" s="22">
        <f>IF(J31&gt;0,1/J31,0)</f>
        <v>0.1</v>
      </c>
      <c r="K24" s="22">
        <f t="shared" ref="K24:O24" si="4">IF(K31&gt;0,1/K31,0)</f>
        <v>0.1</v>
      </c>
      <c r="L24" s="22">
        <f t="shared" si="4"/>
        <v>0.1</v>
      </c>
      <c r="M24" s="22">
        <f t="shared" si="4"/>
        <v>0</v>
      </c>
      <c r="N24" s="22">
        <f t="shared" si="4"/>
        <v>0</v>
      </c>
      <c r="O24" s="22">
        <f t="shared" si="4"/>
        <v>0</v>
      </c>
      <c r="AL24" s="111">
        <v>20</v>
      </c>
      <c r="AM24" s="119">
        <f t="shared" si="2"/>
        <v>4.3512435033292896</v>
      </c>
      <c r="AN24" s="120">
        <f t="shared" si="2"/>
        <v>3.492828476735633</v>
      </c>
      <c r="AO24" s="120">
        <f t="shared" si="2"/>
        <v>3.0983912121407795</v>
      </c>
      <c r="AP24" s="120">
        <f t="shared" si="2"/>
        <v>2.8660814020156589</v>
      </c>
      <c r="AQ24" s="120">
        <f t="shared" si="2"/>
        <v>2.7108898372096917</v>
      </c>
      <c r="AR24" s="120">
        <f t="shared" si="2"/>
        <v>2.5989777115642028</v>
      </c>
      <c r="AS24" s="121">
        <f t="shared" si="2"/>
        <v>2.5140110629988341</v>
      </c>
      <c r="AU24" s="111">
        <v>20</v>
      </c>
      <c r="AV24" s="119">
        <f t="shared" si="3"/>
        <v>8.0959580640856981</v>
      </c>
      <c r="AW24" s="120">
        <f t="shared" si="3"/>
        <v>5.8489319246111338</v>
      </c>
      <c r="AX24" s="120">
        <f t="shared" si="3"/>
        <v>4.9381933823105379</v>
      </c>
      <c r="AY24" s="120">
        <f t="shared" si="3"/>
        <v>4.4306901614377745</v>
      </c>
      <c r="AZ24" s="120">
        <f t="shared" si="3"/>
        <v>4.1026846305847338</v>
      </c>
      <c r="BA24" s="120">
        <f t="shared" si="3"/>
        <v>3.8714268151294093</v>
      </c>
      <c r="BB24" s="121">
        <f t="shared" si="3"/>
        <v>3.6987401520550511</v>
      </c>
    </row>
    <row r="25" spans="9:54" x14ac:dyDescent="0.15">
      <c r="I25" s="67" t="s">
        <v>169</v>
      </c>
      <c r="J25" s="22">
        <f>J23/SUM(J24:O24)</f>
        <v>9.9999999999999982</v>
      </c>
      <c r="Y25" s="146" t="s">
        <v>168</v>
      </c>
      <c r="Z25" s="22">
        <f>COUNT(R5:W5)</f>
        <v>3</v>
      </c>
      <c r="AL25" s="111">
        <v>21</v>
      </c>
      <c r="AM25" s="119">
        <f t="shared" ref="AM25:AS34" si="5">FINV(0.05,AM$4,$AL25)</f>
        <v>4.3247937431830454</v>
      </c>
      <c r="AN25" s="120">
        <f t="shared" si="5"/>
        <v>3.4668001115424172</v>
      </c>
      <c r="AO25" s="120">
        <f t="shared" si="5"/>
        <v>3.0724669863968779</v>
      </c>
      <c r="AP25" s="120">
        <f t="shared" si="5"/>
        <v>2.8400998074753825</v>
      </c>
      <c r="AQ25" s="120">
        <f t="shared" si="5"/>
        <v>2.6847807301748476</v>
      </c>
      <c r="AR25" s="120">
        <f t="shared" si="5"/>
        <v>2.5727116405095254</v>
      </c>
      <c r="AS25" s="121">
        <f t="shared" si="5"/>
        <v>2.487577703722041</v>
      </c>
      <c r="AU25" s="111">
        <v>21</v>
      </c>
      <c r="AV25" s="119">
        <f t="shared" ref="AV25:BB34" si="6">FINV(0.01,AV$4,$AL25)</f>
        <v>8.0165969468084768</v>
      </c>
      <c r="AW25" s="120">
        <f t="shared" si="6"/>
        <v>5.7804156882425568</v>
      </c>
      <c r="AX25" s="120">
        <f t="shared" si="6"/>
        <v>4.8740461970006939</v>
      </c>
      <c r="AY25" s="120">
        <f t="shared" si="6"/>
        <v>4.3688151740781915</v>
      </c>
      <c r="AZ25" s="120">
        <f t="shared" si="6"/>
        <v>4.0421438611741243</v>
      </c>
      <c r="BA25" s="120">
        <f t="shared" si="6"/>
        <v>3.8117254972548089</v>
      </c>
      <c r="BB25" s="121">
        <f t="shared" si="6"/>
        <v>3.639589558217867</v>
      </c>
    </row>
    <row r="26" spans="9:54" x14ac:dyDescent="0.15">
      <c r="I26" s="146" t="s">
        <v>170</v>
      </c>
      <c r="J26" s="147">
        <f>J13*SQRT(L7/J25)</f>
        <v>20.410604449648233</v>
      </c>
      <c r="Z26" s="22">
        <f>IF(Z33&gt;0,1/Z33,0)</f>
        <v>0.1</v>
      </c>
      <c r="AA26" s="22">
        <f t="shared" ref="AA26:AE26" si="7">IF(AA33&gt;0,1/AA33,0)</f>
        <v>0.1</v>
      </c>
      <c r="AB26" s="22">
        <f t="shared" si="7"/>
        <v>0.1</v>
      </c>
      <c r="AC26" s="22">
        <f t="shared" si="7"/>
        <v>0</v>
      </c>
      <c r="AD26" s="22">
        <f t="shared" si="7"/>
        <v>0</v>
      </c>
      <c r="AE26" s="22">
        <f t="shared" si="7"/>
        <v>0</v>
      </c>
      <c r="AL26" s="111">
        <v>22</v>
      </c>
      <c r="AM26" s="119">
        <f t="shared" si="5"/>
        <v>4.3009495017776587</v>
      </c>
      <c r="AN26" s="120">
        <f t="shared" si="5"/>
        <v>3.4433567793667246</v>
      </c>
      <c r="AO26" s="120">
        <f t="shared" si="5"/>
        <v>3.0491249886524128</v>
      </c>
      <c r="AP26" s="120">
        <f t="shared" si="5"/>
        <v>2.8167083396402548</v>
      </c>
      <c r="AQ26" s="120">
        <f t="shared" si="5"/>
        <v>2.6612739171180357</v>
      </c>
      <c r="AR26" s="120">
        <f t="shared" si="5"/>
        <v>2.5490614138436585</v>
      </c>
      <c r="AS26" s="121">
        <f t="shared" si="5"/>
        <v>2.4637738299608096</v>
      </c>
      <c r="AU26" s="111">
        <v>22</v>
      </c>
      <c r="AV26" s="119">
        <f t="shared" si="6"/>
        <v>7.9453857291700425</v>
      </c>
      <c r="AW26" s="120">
        <f t="shared" si="6"/>
        <v>5.7190219124822725</v>
      </c>
      <c r="AX26" s="120">
        <f t="shared" si="6"/>
        <v>4.8166057778160596</v>
      </c>
      <c r="AY26" s="120">
        <f t="shared" si="6"/>
        <v>4.3134294969595839</v>
      </c>
      <c r="AZ26" s="120">
        <f t="shared" si="6"/>
        <v>3.9879632231269468</v>
      </c>
      <c r="BA26" s="120">
        <f t="shared" si="6"/>
        <v>3.7583014350037565</v>
      </c>
      <c r="BB26" s="121">
        <f t="shared" si="6"/>
        <v>3.58666022429485</v>
      </c>
    </row>
    <row r="27" spans="9:54" x14ac:dyDescent="0.15">
      <c r="I27" s="146"/>
      <c r="Y27" s="67" t="s">
        <v>169</v>
      </c>
      <c r="Z27" s="22">
        <f>Z25/SUM(Z26:AE26)</f>
        <v>9.9999999999999982</v>
      </c>
      <c r="AL27" s="111">
        <v>23</v>
      </c>
      <c r="AM27" s="119">
        <f t="shared" si="5"/>
        <v>4.2793443091446495</v>
      </c>
      <c r="AN27" s="120">
        <f t="shared" si="5"/>
        <v>3.4221322078611793</v>
      </c>
      <c r="AO27" s="120">
        <f t="shared" si="5"/>
        <v>3.0279983823321985</v>
      </c>
      <c r="AP27" s="120">
        <f t="shared" si="5"/>
        <v>2.7955387373613885</v>
      </c>
      <c r="AQ27" s="120">
        <f t="shared" si="5"/>
        <v>2.6399994260529942</v>
      </c>
      <c r="AR27" s="120">
        <f t="shared" si="5"/>
        <v>2.5276553252421778</v>
      </c>
      <c r="AS27" s="121">
        <f t="shared" si="5"/>
        <v>2.442226085684859</v>
      </c>
      <c r="AU27" s="111">
        <v>23</v>
      </c>
      <c r="AV27" s="119">
        <f t="shared" si="6"/>
        <v>7.8811336413683684</v>
      </c>
      <c r="AW27" s="120">
        <f t="shared" si="6"/>
        <v>5.6636987680960402</v>
      </c>
      <c r="AX27" s="120">
        <f t="shared" si="6"/>
        <v>4.7648767593744088</v>
      </c>
      <c r="AY27" s="120">
        <f t="shared" si="6"/>
        <v>4.2635674594574988</v>
      </c>
      <c r="AZ27" s="120">
        <f t="shared" si="6"/>
        <v>3.9391948547411948</v>
      </c>
      <c r="BA27" s="120">
        <f t="shared" si="6"/>
        <v>3.7102183612777666</v>
      </c>
      <c r="BB27" s="121">
        <f t="shared" si="6"/>
        <v>3.5390238778798131</v>
      </c>
    </row>
    <row r="28" spans="9:54" x14ac:dyDescent="0.15">
      <c r="I28" s="3"/>
      <c r="J28" s="4">
        <v>1</v>
      </c>
      <c r="K28" s="4">
        <v>2</v>
      </c>
      <c r="L28" s="4">
        <v>3</v>
      </c>
      <c r="M28" s="4">
        <v>4</v>
      </c>
      <c r="N28" s="4">
        <v>5</v>
      </c>
      <c r="O28" s="4">
        <v>6</v>
      </c>
      <c r="P28" s="4" t="s">
        <v>85</v>
      </c>
      <c r="Y28" s="146" t="s">
        <v>170</v>
      </c>
      <c r="Z28" s="147">
        <f>Z15*SQRT(AB9/Z27)</f>
        <v>10.069966142500755</v>
      </c>
      <c r="AL28" s="111">
        <v>24</v>
      </c>
      <c r="AM28" s="119">
        <f t="shared" si="5"/>
        <v>4.2596772726902348</v>
      </c>
      <c r="AN28" s="120">
        <f t="shared" si="5"/>
        <v>3.4028261053501945</v>
      </c>
      <c r="AO28" s="120">
        <f t="shared" si="5"/>
        <v>3.0087865704473615</v>
      </c>
      <c r="AP28" s="120">
        <f t="shared" si="5"/>
        <v>2.7762892892514786</v>
      </c>
      <c r="AQ28" s="120">
        <f t="shared" si="5"/>
        <v>2.6206541478628855</v>
      </c>
      <c r="AR28" s="120">
        <f t="shared" si="5"/>
        <v>2.5081888234232559</v>
      </c>
      <c r="AS28" s="121">
        <f t="shared" si="5"/>
        <v>2.4226285334209159</v>
      </c>
      <c r="AU28" s="111">
        <v>24</v>
      </c>
      <c r="AV28" s="119">
        <f t="shared" si="6"/>
        <v>7.8228705933679761</v>
      </c>
      <c r="AW28" s="120">
        <f t="shared" si="6"/>
        <v>5.6135912114648372</v>
      </c>
      <c r="AX28" s="120">
        <f t="shared" si="6"/>
        <v>4.7180508074958016</v>
      </c>
      <c r="AY28" s="120">
        <f t="shared" si="6"/>
        <v>4.2184452673562687</v>
      </c>
      <c r="AZ28" s="120">
        <f t="shared" si="6"/>
        <v>3.8950696548170858</v>
      </c>
      <c r="BA28" s="120">
        <f t="shared" si="6"/>
        <v>3.6667167179453148</v>
      </c>
      <c r="BB28" s="121">
        <f t="shared" si="6"/>
        <v>3.4959275204932752</v>
      </c>
    </row>
    <row r="29" spans="9:54" x14ac:dyDescent="0.15">
      <c r="I29" s="67" t="s">
        <v>93</v>
      </c>
      <c r="J29" s="4">
        <f t="shared" ref="J29:O29" si="8">SUM(B5:B100000)</f>
        <v>445</v>
      </c>
      <c r="K29" s="4">
        <f t="shared" si="8"/>
        <v>511</v>
      </c>
      <c r="L29" s="4">
        <f t="shared" si="8"/>
        <v>556</v>
      </c>
      <c r="M29" s="4">
        <f t="shared" si="8"/>
        <v>0</v>
      </c>
      <c r="N29" s="4">
        <f t="shared" si="8"/>
        <v>0</v>
      </c>
      <c r="O29" s="4">
        <f t="shared" si="8"/>
        <v>0</v>
      </c>
      <c r="P29" s="4">
        <f>SUM(J29:O29)</f>
        <v>1512</v>
      </c>
      <c r="Y29" s="146"/>
      <c r="AL29" s="111">
        <v>25</v>
      </c>
      <c r="AM29" s="119">
        <f t="shared" si="5"/>
        <v>4.2416990502771483</v>
      </c>
      <c r="AN29" s="120">
        <f t="shared" si="5"/>
        <v>3.3851899614491709</v>
      </c>
      <c r="AO29" s="120">
        <f t="shared" si="5"/>
        <v>2.9912409095499513</v>
      </c>
      <c r="AP29" s="120">
        <f t="shared" si="5"/>
        <v>2.7587104697176335</v>
      </c>
      <c r="AQ29" s="120">
        <f t="shared" si="5"/>
        <v>2.6029874027870616</v>
      </c>
      <c r="AR29" s="120">
        <f t="shared" si="5"/>
        <v>2.4904100180874127</v>
      </c>
      <c r="AS29" s="121">
        <f t="shared" si="5"/>
        <v>2.4047281081005818</v>
      </c>
      <c r="AU29" s="111">
        <v>25</v>
      </c>
      <c r="AV29" s="119">
        <f t="shared" si="6"/>
        <v>7.769798415368995</v>
      </c>
      <c r="AW29" s="120">
        <f t="shared" si="6"/>
        <v>5.5679971343240915</v>
      </c>
      <c r="AX29" s="120">
        <f t="shared" si="6"/>
        <v>4.6754647823259132</v>
      </c>
      <c r="AY29" s="120">
        <f t="shared" si="6"/>
        <v>4.1774202346456386</v>
      </c>
      <c r="AZ29" s="120">
        <f t="shared" si="6"/>
        <v>3.8549571646630025</v>
      </c>
      <c r="BA29" s="120">
        <f t="shared" si="6"/>
        <v>3.6271739696815497</v>
      </c>
      <c r="BB29" s="121">
        <f t="shared" si="6"/>
        <v>3.4567540466360827</v>
      </c>
    </row>
    <row r="30" spans="9:54" x14ac:dyDescent="0.15">
      <c r="I30" s="4" t="s">
        <v>94</v>
      </c>
      <c r="J30" s="4">
        <f t="shared" ref="J30:O30" si="9">SUM(I35:I99999)</f>
        <v>21983</v>
      </c>
      <c r="K30" s="4">
        <f t="shared" si="9"/>
        <v>30301</v>
      </c>
      <c r="L30" s="4">
        <f t="shared" si="9"/>
        <v>33674</v>
      </c>
      <c r="M30" s="4">
        <f t="shared" si="9"/>
        <v>0</v>
      </c>
      <c r="N30" s="4">
        <f t="shared" si="9"/>
        <v>0</v>
      </c>
      <c r="O30" s="4">
        <f t="shared" si="9"/>
        <v>0</v>
      </c>
      <c r="P30" s="4">
        <f>SUM(J30:O30)</f>
        <v>85958</v>
      </c>
      <c r="Y30" s="3"/>
      <c r="Z30" s="4">
        <v>1</v>
      </c>
      <c r="AA30" s="4">
        <v>2</v>
      </c>
      <c r="AB30" s="4">
        <v>3</v>
      </c>
      <c r="AC30" s="4">
        <v>4</v>
      </c>
      <c r="AD30" s="4">
        <v>5</v>
      </c>
      <c r="AE30" s="4">
        <v>6</v>
      </c>
      <c r="AF30" s="4" t="s">
        <v>85</v>
      </c>
      <c r="AL30" s="111">
        <v>26</v>
      </c>
      <c r="AM30" s="119">
        <f t="shared" si="5"/>
        <v>4.2252012731274871</v>
      </c>
      <c r="AN30" s="120">
        <f t="shared" si="5"/>
        <v>3.3690163594954443</v>
      </c>
      <c r="AO30" s="120">
        <f t="shared" si="5"/>
        <v>2.9751539639733933</v>
      </c>
      <c r="AP30" s="120">
        <f t="shared" si="5"/>
        <v>2.7425941372218592</v>
      </c>
      <c r="AQ30" s="120">
        <f t="shared" si="5"/>
        <v>2.5867900870625911</v>
      </c>
      <c r="AR30" s="120">
        <f t="shared" si="5"/>
        <v>2.4741087807709587</v>
      </c>
      <c r="AS30" s="121">
        <f t="shared" si="5"/>
        <v>2.3883136780251135</v>
      </c>
      <c r="AU30" s="111">
        <v>26</v>
      </c>
      <c r="AV30" s="119">
        <f t="shared" si="6"/>
        <v>7.7212544577376017</v>
      </c>
      <c r="AW30" s="120">
        <f t="shared" si="6"/>
        <v>5.5263347139389776</v>
      </c>
      <c r="AX30" s="120">
        <f t="shared" si="6"/>
        <v>4.6365696243343484</v>
      </c>
      <c r="AY30" s="120">
        <f t="shared" si="6"/>
        <v>4.1399604836950115</v>
      </c>
      <c r="AZ30" s="120">
        <f t="shared" si="6"/>
        <v>3.8183357627898964</v>
      </c>
      <c r="BA30" s="120">
        <f t="shared" si="6"/>
        <v>3.5910751263933767</v>
      </c>
      <c r="BB30" s="121">
        <f t="shared" si="6"/>
        <v>3.4209929972886104</v>
      </c>
    </row>
    <row r="31" spans="9:54" x14ac:dyDescent="0.15">
      <c r="I31" s="67" t="s">
        <v>7</v>
      </c>
      <c r="J31" s="4">
        <f t="shared" ref="J31:O31" si="10">COUNT(B5:B100000)</f>
        <v>10</v>
      </c>
      <c r="K31" s="4">
        <f t="shared" si="10"/>
        <v>10</v>
      </c>
      <c r="L31" s="4">
        <f t="shared" si="10"/>
        <v>10</v>
      </c>
      <c r="M31" s="4">
        <f t="shared" si="10"/>
        <v>0</v>
      </c>
      <c r="N31" s="4">
        <f t="shared" si="10"/>
        <v>0</v>
      </c>
      <c r="O31" s="4">
        <f t="shared" si="10"/>
        <v>0</v>
      </c>
      <c r="P31" s="4">
        <f t="shared" ref="P31:P32" si="11">SUM(J31:O31)</f>
        <v>30</v>
      </c>
      <c r="Y31" s="67" t="s">
        <v>93</v>
      </c>
      <c r="Z31" s="4">
        <f t="shared" ref="Z31:AE31" si="12">SUM(R5:R100000)</f>
        <v>445</v>
      </c>
      <c r="AA31" s="4">
        <f t="shared" si="12"/>
        <v>511</v>
      </c>
      <c r="AB31" s="4">
        <f t="shared" si="12"/>
        <v>556</v>
      </c>
      <c r="AC31" s="4">
        <f t="shared" si="12"/>
        <v>0</v>
      </c>
      <c r="AD31" s="4">
        <f t="shared" si="12"/>
        <v>0</v>
      </c>
      <c r="AE31" s="4">
        <f t="shared" si="12"/>
        <v>0</v>
      </c>
      <c r="AF31" s="4">
        <f>SUM(Z31:AE31)</f>
        <v>1512</v>
      </c>
      <c r="AL31" s="111">
        <v>27</v>
      </c>
      <c r="AM31" s="119">
        <f t="shared" si="5"/>
        <v>4.2100084683597556</v>
      </c>
      <c r="AN31" s="120">
        <f t="shared" si="5"/>
        <v>3.3541308285291991</v>
      </c>
      <c r="AO31" s="120">
        <f t="shared" si="5"/>
        <v>2.9603513184112873</v>
      </c>
      <c r="AP31" s="120">
        <f t="shared" si="5"/>
        <v>2.727765306033989</v>
      </c>
      <c r="AQ31" s="120">
        <f t="shared" si="5"/>
        <v>2.5718864057841535</v>
      </c>
      <c r="AR31" s="120">
        <f t="shared" si="5"/>
        <v>2.4591084425783349</v>
      </c>
      <c r="AS31" s="121">
        <f t="shared" si="5"/>
        <v>2.3732077116305983</v>
      </c>
      <c r="AU31" s="111">
        <v>27</v>
      </c>
      <c r="AV31" s="119">
        <f t="shared" si="6"/>
        <v>7.6766840488874859</v>
      </c>
      <c r="AW31" s="120">
        <f t="shared" si="6"/>
        <v>5.488117768420703</v>
      </c>
      <c r="AX31" s="120">
        <f t="shared" si="6"/>
        <v>4.6009068946622849</v>
      </c>
      <c r="AY31" s="120">
        <f t="shared" si="6"/>
        <v>4.1056221130833501</v>
      </c>
      <c r="AZ31" s="120">
        <f t="shared" si="6"/>
        <v>3.7847702132414436</v>
      </c>
      <c r="BA31" s="120">
        <f t="shared" si="6"/>
        <v>3.5579905431887022</v>
      </c>
      <c r="BB31" s="121">
        <f t="shared" si="6"/>
        <v>3.3882185368762139</v>
      </c>
    </row>
    <row r="32" spans="9:54" x14ac:dyDescent="0.15">
      <c r="I32" s="4" t="s">
        <v>95</v>
      </c>
      <c r="J32" s="4">
        <f>J29^2/J31</f>
        <v>19802.5</v>
      </c>
      <c r="K32" s="4">
        <f t="shared" ref="K32:L32" si="13">K29^2/K31</f>
        <v>26112.1</v>
      </c>
      <c r="L32" s="4">
        <f t="shared" si="13"/>
        <v>30913.599999999999</v>
      </c>
      <c r="M32" s="4">
        <f>IF($J$23&gt;3,M29^2/M31,0)</f>
        <v>0</v>
      </c>
      <c r="N32" s="4">
        <f>IF($J$23&gt;4,N29^2/N31,0)</f>
        <v>0</v>
      </c>
      <c r="O32" s="4">
        <f>IF($J$23&gt;5,O29^2/O31,0)</f>
        <v>0</v>
      </c>
      <c r="P32" s="4">
        <f t="shared" si="11"/>
        <v>76828.2</v>
      </c>
      <c r="Y32" s="4" t="s">
        <v>94</v>
      </c>
      <c r="Z32" s="4">
        <f t="shared" ref="Z32:AE32" si="14">SUM(Y37:Y99999)</f>
        <v>21983</v>
      </c>
      <c r="AA32" s="4">
        <f t="shared" si="14"/>
        <v>30301</v>
      </c>
      <c r="AB32" s="4">
        <f t="shared" si="14"/>
        <v>33674</v>
      </c>
      <c r="AC32" s="4">
        <f t="shared" si="14"/>
        <v>0</v>
      </c>
      <c r="AD32" s="4">
        <f t="shared" si="14"/>
        <v>0</v>
      </c>
      <c r="AE32" s="4">
        <f t="shared" si="14"/>
        <v>0</v>
      </c>
      <c r="AF32" s="4">
        <f>SUM(Z32:AE32)</f>
        <v>85958</v>
      </c>
      <c r="AL32" s="111">
        <v>28</v>
      </c>
      <c r="AM32" s="119">
        <f t="shared" si="5"/>
        <v>4.195971818557763</v>
      </c>
      <c r="AN32" s="120">
        <f t="shared" si="5"/>
        <v>3.3403855582377591</v>
      </c>
      <c r="AO32" s="120">
        <f t="shared" si="5"/>
        <v>2.9466852660172647</v>
      </c>
      <c r="AP32" s="120">
        <f t="shared" si="5"/>
        <v>2.7140758041450779</v>
      </c>
      <c r="AQ32" s="120">
        <f t="shared" si="5"/>
        <v>2.5581275011108073</v>
      </c>
      <c r="AR32" s="120">
        <f t="shared" si="5"/>
        <v>2.4452593950893835</v>
      </c>
      <c r="AS32" s="121">
        <f t="shared" si="5"/>
        <v>2.3592598540564387</v>
      </c>
      <c r="AU32" s="111">
        <v>28</v>
      </c>
      <c r="AV32" s="119">
        <f t="shared" si="6"/>
        <v>7.6356193977628095</v>
      </c>
      <c r="AW32" s="120">
        <f t="shared" si="6"/>
        <v>5.4529369212239249</v>
      </c>
      <c r="AX32" s="120">
        <f t="shared" si="6"/>
        <v>4.568090863679573</v>
      </c>
      <c r="AY32" s="120">
        <f t="shared" si="6"/>
        <v>4.07403177491961</v>
      </c>
      <c r="AZ32" s="120">
        <f t="shared" si="6"/>
        <v>3.753894538830854</v>
      </c>
      <c r="BA32" s="120">
        <f t="shared" si="6"/>
        <v>3.5275589889138619</v>
      </c>
      <c r="BB32" s="121">
        <f t="shared" si="6"/>
        <v>3.3580726588472127</v>
      </c>
    </row>
    <row r="33" spans="9:54" x14ac:dyDescent="0.15">
      <c r="Y33" s="67" t="s">
        <v>7</v>
      </c>
      <c r="Z33" s="4">
        <f t="shared" ref="Z33:AE33" si="15">COUNT(R5:R100000)</f>
        <v>10</v>
      </c>
      <c r="AA33" s="4">
        <f t="shared" si="15"/>
        <v>10</v>
      </c>
      <c r="AB33" s="4">
        <f t="shared" si="15"/>
        <v>10</v>
      </c>
      <c r="AC33" s="4">
        <f t="shared" si="15"/>
        <v>0</v>
      </c>
      <c r="AD33" s="4">
        <f t="shared" si="15"/>
        <v>0</v>
      </c>
      <c r="AE33" s="4">
        <f t="shared" si="15"/>
        <v>0</v>
      </c>
      <c r="AF33" s="4">
        <f t="shared" ref="AF33:AF34" si="16">SUM(Z33:AE33)</f>
        <v>30</v>
      </c>
      <c r="AL33" s="111">
        <v>29</v>
      </c>
      <c r="AM33" s="119">
        <f t="shared" si="5"/>
        <v>4.1829642890582726</v>
      </c>
      <c r="AN33" s="120">
        <f t="shared" si="5"/>
        <v>3.3276544985720609</v>
      </c>
      <c r="AO33" s="120">
        <f t="shared" si="5"/>
        <v>2.9340298896641732</v>
      </c>
      <c r="AP33" s="120">
        <f t="shared" si="5"/>
        <v>2.701399331923267</v>
      </c>
      <c r="AQ33" s="120">
        <f t="shared" si="5"/>
        <v>2.5453864879485462</v>
      </c>
      <c r="AR33" s="120">
        <f t="shared" si="5"/>
        <v>2.4324341045767892</v>
      </c>
      <c r="AS33" s="121">
        <f t="shared" si="5"/>
        <v>2.3463419220205526</v>
      </c>
      <c r="AU33" s="111">
        <v>29</v>
      </c>
      <c r="AV33" s="119">
        <f t="shared" si="6"/>
        <v>7.59766324995402</v>
      </c>
      <c r="AW33" s="120">
        <f t="shared" si="6"/>
        <v>5.420445040307313</v>
      </c>
      <c r="AX33" s="120">
        <f t="shared" si="6"/>
        <v>4.5377946777611333</v>
      </c>
      <c r="AY33" s="120">
        <f t="shared" si="6"/>
        <v>4.0448732260845732</v>
      </c>
      <c r="AZ33" s="120">
        <f t="shared" si="6"/>
        <v>3.7253988048022095</v>
      </c>
      <c r="BA33" s="120">
        <f t="shared" si="6"/>
        <v>3.4994745829027694</v>
      </c>
      <c r="BB33" s="121">
        <f t="shared" si="6"/>
        <v>3.3302522295877437</v>
      </c>
    </row>
    <row r="34" spans="9:54" x14ac:dyDescent="0.15">
      <c r="I34" s="278" t="s">
        <v>92</v>
      </c>
      <c r="J34" s="279"/>
      <c r="K34" s="279"/>
      <c r="L34" s="279"/>
      <c r="M34" s="279"/>
      <c r="N34" s="280"/>
      <c r="O34" s="58"/>
      <c r="Y34" s="4" t="s">
        <v>95</v>
      </c>
      <c r="Z34" s="4">
        <f>Z31^2/Z33</f>
        <v>19802.5</v>
      </c>
      <c r="AA34" s="4">
        <f t="shared" ref="AA34" si="17">AA31^2/AA33</f>
        <v>26112.1</v>
      </c>
      <c r="AB34" s="4">
        <f t="shared" ref="AB34" si="18">AB31^2/AB33</f>
        <v>30913.599999999999</v>
      </c>
      <c r="AC34" s="4">
        <f>IF($Z$25&gt;3,AC31^2/AC33,0)</f>
        <v>0</v>
      </c>
      <c r="AD34" s="4">
        <f>IF($Z$25&gt;4,AD31^2/AD33,0)</f>
        <v>0</v>
      </c>
      <c r="AE34" s="4">
        <f>IF($Z$25&gt;5,AE31^2/AE33,0)</f>
        <v>0</v>
      </c>
      <c r="AF34" s="4">
        <f t="shared" si="16"/>
        <v>76828.2</v>
      </c>
      <c r="AL34" s="111">
        <v>30</v>
      </c>
      <c r="AM34" s="119">
        <f t="shared" si="5"/>
        <v>4.1708767857666915</v>
      </c>
      <c r="AN34" s="120">
        <f t="shared" si="5"/>
        <v>3.3158295010135221</v>
      </c>
      <c r="AO34" s="120">
        <f t="shared" si="5"/>
        <v>2.9222771906450378</v>
      </c>
      <c r="AP34" s="120">
        <f t="shared" si="5"/>
        <v>2.6896275736914181</v>
      </c>
      <c r="AQ34" s="120">
        <f t="shared" si="5"/>
        <v>2.5335545475592705</v>
      </c>
      <c r="AR34" s="120">
        <f t="shared" si="5"/>
        <v>2.4205231885575733</v>
      </c>
      <c r="AS34" s="121">
        <f t="shared" si="5"/>
        <v>2.334343964844781</v>
      </c>
      <c r="AU34" s="111">
        <v>30</v>
      </c>
      <c r="AV34" s="119">
        <f t="shared" si="6"/>
        <v>7.5624760946386322</v>
      </c>
      <c r="AW34" s="120">
        <f t="shared" si="6"/>
        <v>5.3903458631778829</v>
      </c>
      <c r="AX34" s="120">
        <f t="shared" si="6"/>
        <v>4.5097395624590648</v>
      </c>
      <c r="AY34" s="120">
        <f t="shared" si="6"/>
        <v>4.0178768365875239</v>
      </c>
      <c r="AZ34" s="120">
        <f t="shared" si="6"/>
        <v>3.6990188114125706</v>
      </c>
      <c r="BA34" s="120">
        <f t="shared" si="6"/>
        <v>3.4734766086671285</v>
      </c>
      <c r="BB34" s="121">
        <f t="shared" si="6"/>
        <v>3.3044988866923952</v>
      </c>
    </row>
    <row r="35" spans="9:54" x14ac:dyDescent="0.15">
      <c r="I35" s="4">
        <f t="shared" ref="I35:I66" si="19">B5^2</f>
        <v>4489</v>
      </c>
      <c r="J35" s="4">
        <f t="shared" ref="J35:J66" si="20">C5^2</f>
        <v>4356</v>
      </c>
      <c r="K35" s="4">
        <f t="shared" ref="K35:K66" si="21">D5^2</f>
        <v>4225</v>
      </c>
      <c r="L35" s="4">
        <f t="shared" ref="L35:L66" si="22">E5^2</f>
        <v>0</v>
      </c>
      <c r="M35" s="4">
        <f t="shared" ref="M35:M66" si="23">F5^2</f>
        <v>0</v>
      </c>
      <c r="N35" s="4">
        <f t="shared" ref="N35:N66" si="24">G5^2</f>
        <v>0</v>
      </c>
      <c r="AL35" s="111">
        <v>32</v>
      </c>
      <c r="AM35" s="119">
        <f t="shared" ref="AM35:AS44" si="25">FINV(0.05,AM$4,$AL35)</f>
        <v>4.1490974456995477</v>
      </c>
      <c r="AN35" s="120">
        <f t="shared" si="25"/>
        <v>3.2945368164911413</v>
      </c>
      <c r="AO35" s="120">
        <f t="shared" si="25"/>
        <v>2.9011195838408388</v>
      </c>
      <c r="AP35" s="120">
        <f t="shared" si="25"/>
        <v>2.6684369425198411</v>
      </c>
      <c r="AQ35" s="120">
        <f t="shared" si="25"/>
        <v>2.5122549458481473</v>
      </c>
      <c r="AR35" s="120">
        <f t="shared" si="25"/>
        <v>2.3990796306984743</v>
      </c>
      <c r="AS35" s="121">
        <f t="shared" si="25"/>
        <v>2.3127411866337537</v>
      </c>
      <c r="AU35" s="111">
        <v>32</v>
      </c>
      <c r="AV35" s="119">
        <f t="shared" ref="AV35:BB44" si="26">FINV(0.01,AV$4,$AL35)</f>
        <v>7.4992808273236697</v>
      </c>
      <c r="AW35" s="120">
        <f t="shared" si="26"/>
        <v>5.3363429146131818</v>
      </c>
      <c r="AX35" s="120">
        <f t="shared" si="26"/>
        <v>4.4594285285032553</v>
      </c>
      <c r="AY35" s="120">
        <f t="shared" si="26"/>
        <v>3.9694771866284357</v>
      </c>
      <c r="AZ35" s="120">
        <f t="shared" si="26"/>
        <v>3.6517308830025148</v>
      </c>
      <c r="BA35" s="120">
        <f t="shared" si="26"/>
        <v>3.4268764316916318</v>
      </c>
      <c r="BB35" s="121">
        <f t="shared" si="26"/>
        <v>3.258337778327149</v>
      </c>
    </row>
    <row r="36" spans="9:54" x14ac:dyDescent="0.15">
      <c r="I36" s="4">
        <f t="shared" si="19"/>
        <v>4225</v>
      </c>
      <c r="J36" s="4">
        <f t="shared" si="20"/>
        <v>8836</v>
      </c>
      <c r="K36" s="4">
        <f t="shared" si="21"/>
        <v>6724</v>
      </c>
      <c r="L36" s="4">
        <f t="shared" si="22"/>
        <v>0</v>
      </c>
      <c r="M36" s="4">
        <f t="shared" si="23"/>
        <v>0</v>
      </c>
      <c r="N36" s="4">
        <f t="shared" si="24"/>
        <v>0</v>
      </c>
      <c r="Y36" s="278" t="s">
        <v>107</v>
      </c>
      <c r="Z36" s="279"/>
      <c r="AA36" s="279"/>
      <c r="AB36" s="279"/>
      <c r="AC36" s="279"/>
      <c r="AD36" s="280"/>
      <c r="AE36" s="108" t="s">
        <v>101</v>
      </c>
      <c r="AF36" s="67" t="s">
        <v>102</v>
      </c>
      <c r="AL36" s="111">
        <v>34</v>
      </c>
      <c r="AM36" s="119">
        <f t="shared" si="25"/>
        <v>4.1300177456520188</v>
      </c>
      <c r="AN36" s="120">
        <f t="shared" si="25"/>
        <v>3.275897990672394</v>
      </c>
      <c r="AO36" s="120">
        <f t="shared" si="25"/>
        <v>2.8826042042612277</v>
      </c>
      <c r="AP36" s="120">
        <f t="shared" si="25"/>
        <v>2.6498940144623786</v>
      </c>
      <c r="AQ36" s="120">
        <f t="shared" si="25"/>
        <v>2.4936159503469142</v>
      </c>
      <c r="AR36" s="120">
        <f t="shared" si="25"/>
        <v>2.3803127043676304</v>
      </c>
      <c r="AS36" s="121">
        <f t="shared" si="25"/>
        <v>2.2938321598238942</v>
      </c>
      <c r="AU36" s="111">
        <v>34</v>
      </c>
      <c r="AV36" s="119">
        <f t="shared" si="26"/>
        <v>7.4441358222632363</v>
      </c>
      <c r="AW36" s="120">
        <f t="shared" si="26"/>
        <v>5.2892769361665941</v>
      </c>
      <c r="AX36" s="120">
        <f t="shared" si="26"/>
        <v>4.4156062428632872</v>
      </c>
      <c r="AY36" s="120">
        <f t="shared" si="26"/>
        <v>3.9273333243426087</v>
      </c>
      <c r="AZ36" s="120">
        <f t="shared" si="26"/>
        <v>3.6105620622926469</v>
      </c>
      <c r="BA36" s="120">
        <f t="shared" si="26"/>
        <v>3.3863094474948485</v>
      </c>
      <c r="BB36" s="121">
        <f t="shared" si="26"/>
        <v>3.2181535454318335</v>
      </c>
    </row>
    <row r="37" spans="9:54" x14ac:dyDescent="0.15">
      <c r="I37" s="4">
        <f t="shared" si="19"/>
        <v>784</v>
      </c>
      <c r="J37" s="4">
        <f t="shared" si="20"/>
        <v>1681</v>
      </c>
      <c r="K37" s="4">
        <f t="shared" si="21"/>
        <v>1764</v>
      </c>
      <c r="L37" s="4">
        <f t="shared" si="22"/>
        <v>0</v>
      </c>
      <c r="M37" s="4">
        <f t="shared" si="23"/>
        <v>0</v>
      </c>
      <c r="N37" s="4">
        <f t="shared" si="24"/>
        <v>0</v>
      </c>
      <c r="Y37" s="4">
        <f t="shared" ref="Y37:Y68" si="27">R5^2</f>
        <v>4489</v>
      </c>
      <c r="Z37" s="4">
        <f t="shared" ref="Z37:Z68" si="28">S5^2</f>
        <v>4356</v>
      </c>
      <c r="AA37" s="4">
        <f t="shared" ref="AA37:AA68" si="29">T5^2</f>
        <v>4225</v>
      </c>
      <c r="AB37" s="4">
        <f t="shared" ref="AB37:AB68" si="30">U5^2</f>
        <v>0</v>
      </c>
      <c r="AC37" s="4">
        <f t="shared" ref="AC37:AC68" si="31">V5^2</f>
        <v>0</v>
      </c>
      <c r="AD37" s="4">
        <f t="shared" ref="AD37:AD68" si="32">W5^2</f>
        <v>0</v>
      </c>
      <c r="AE37" s="4">
        <f>SUM(R5:W5)</f>
        <v>198</v>
      </c>
      <c r="AF37" s="59">
        <f t="shared" ref="AF37:AF68" si="33">AE37^2/$Z$25</f>
        <v>13068</v>
      </c>
      <c r="AL37" s="111">
        <v>36</v>
      </c>
      <c r="AM37" s="119">
        <f t="shared" si="25"/>
        <v>4.1131652768128939</v>
      </c>
      <c r="AN37" s="120">
        <f t="shared" si="25"/>
        <v>3.2594463061441079</v>
      </c>
      <c r="AO37" s="120">
        <f t="shared" si="25"/>
        <v>2.8662655509401795</v>
      </c>
      <c r="AP37" s="120">
        <f t="shared" si="25"/>
        <v>2.6335320942137543</v>
      </c>
      <c r="AQ37" s="120">
        <f t="shared" si="25"/>
        <v>2.4771686727109157</v>
      </c>
      <c r="AR37" s="120">
        <f t="shared" si="25"/>
        <v>2.3637509583661451</v>
      </c>
      <c r="AS37" s="121">
        <f t="shared" si="25"/>
        <v>2.2771427888981073</v>
      </c>
      <c r="AU37" s="111">
        <v>36</v>
      </c>
      <c r="AV37" s="119">
        <f t="shared" si="26"/>
        <v>7.3955966552538195</v>
      </c>
      <c r="AW37" s="120">
        <f t="shared" si="26"/>
        <v>5.2478939702679046</v>
      </c>
      <c r="AX37" s="120">
        <f t="shared" si="26"/>
        <v>4.3770956208011764</v>
      </c>
      <c r="AY37" s="120">
        <f t="shared" si="26"/>
        <v>3.8903082636867778</v>
      </c>
      <c r="AZ37" s="120">
        <f t="shared" si="26"/>
        <v>3.5743990660056024</v>
      </c>
      <c r="BA37" s="120">
        <f t="shared" si="26"/>
        <v>3.3506774654535043</v>
      </c>
      <c r="BB37" s="121">
        <f t="shared" si="26"/>
        <v>3.1828580898555687</v>
      </c>
    </row>
    <row r="38" spans="9:54" x14ac:dyDescent="0.15">
      <c r="I38" s="4">
        <f t="shared" si="19"/>
        <v>1849</v>
      </c>
      <c r="J38" s="4">
        <f t="shared" si="20"/>
        <v>961</v>
      </c>
      <c r="K38" s="4">
        <f t="shared" si="21"/>
        <v>3025</v>
      </c>
      <c r="L38" s="4">
        <f t="shared" si="22"/>
        <v>0</v>
      </c>
      <c r="M38" s="4">
        <f t="shared" si="23"/>
        <v>0</v>
      </c>
      <c r="N38" s="4">
        <f t="shared" si="24"/>
        <v>0</v>
      </c>
      <c r="Y38" s="4">
        <f t="shared" si="27"/>
        <v>4225</v>
      </c>
      <c r="Z38" s="4">
        <f t="shared" si="28"/>
        <v>8836</v>
      </c>
      <c r="AA38" s="4">
        <f t="shared" si="29"/>
        <v>6724</v>
      </c>
      <c r="AB38" s="4">
        <f t="shared" si="30"/>
        <v>0</v>
      </c>
      <c r="AC38" s="4">
        <f t="shared" si="31"/>
        <v>0</v>
      </c>
      <c r="AD38" s="4">
        <f t="shared" si="32"/>
        <v>0</v>
      </c>
      <c r="AE38" s="4">
        <f t="shared" ref="AE38:AE101" si="34">SUM(R6:W6)</f>
        <v>241</v>
      </c>
      <c r="AF38" s="59">
        <f t="shared" si="33"/>
        <v>19360.333333333332</v>
      </c>
      <c r="AL38" s="111">
        <v>38</v>
      </c>
      <c r="AM38" s="119">
        <f t="shared" si="25"/>
        <v>4.098171730880841</v>
      </c>
      <c r="AN38" s="120">
        <f t="shared" si="25"/>
        <v>3.2448183607328067</v>
      </c>
      <c r="AO38" s="120">
        <f t="shared" si="25"/>
        <v>2.8517413363298969</v>
      </c>
      <c r="AP38" s="120">
        <f t="shared" si="25"/>
        <v>2.6189880137120771</v>
      </c>
      <c r="AQ38" s="120">
        <f t="shared" si="25"/>
        <v>2.4625482276670532</v>
      </c>
      <c r="AR38" s="120">
        <f t="shared" si="25"/>
        <v>2.349027469063524</v>
      </c>
      <c r="AS38" s="121">
        <f t="shared" si="25"/>
        <v>2.262304028843928</v>
      </c>
      <c r="AU38" s="111">
        <v>38</v>
      </c>
      <c r="AV38" s="119">
        <f t="shared" si="26"/>
        <v>7.3525446284926241</v>
      </c>
      <c r="AW38" s="120">
        <f t="shared" si="26"/>
        <v>5.2112247283595377</v>
      </c>
      <c r="AX38" s="120">
        <f t="shared" si="26"/>
        <v>4.3429876347399627</v>
      </c>
      <c r="AY38" s="120">
        <f t="shared" si="26"/>
        <v>3.8575243816534277</v>
      </c>
      <c r="AZ38" s="120">
        <f t="shared" si="26"/>
        <v>3.5423828013538312</v>
      </c>
      <c r="BA38" s="120">
        <f t="shared" si="26"/>
        <v>3.319133156866509</v>
      </c>
      <c r="BB38" s="121">
        <f t="shared" si="26"/>
        <v>3.1516119150698207</v>
      </c>
    </row>
    <row r="39" spans="9:54" x14ac:dyDescent="0.15">
      <c r="I39" s="4">
        <f t="shared" si="19"/>
        <v>1296</v>
      </c>
      <c r="J39" s="4">
        <f t="shared" si="20"/>
        <v>2809</v>
      </c>
      <c r="K39" s="4">
        <f t="shared" si="21"/>
        <v>1764</v>
      </c>
      <c r="L39" s="4">
        <f t="shared" si="22"/>
        <v>0</v>
      </c>
      <c r="M39" s="4">
        <f t="shared" si="23"/>
        <v>0</v>
      </c>
      <c r="N39" s="4">
        <f t="shared" si="24"/>
        <v>0</v>
      </c>
      <c r="Y39" s="4">
        <f t="shared" si="27"/>
        <v>784</v>
      </c>
      <c r="Z39" s="4">
        <f t="shared" si="28"/>
        <v>1681</v>
      </c>
      <c r="AA39" s="4">
        <f t="shared" si="29"/>
        <v>1764</v>
      </c>
      <c r="AB39" s="4">
        <f t="shared" si="30"/>
        <v>0</v>
      </c>
      <c r="AC39" s="4">
        <f t="shared" si="31"/>
        <v>0</v>
      </c>
      <c r="AD39" s="4">
        <f t="shared" si="32"/>
        <v>0</v>
      </c>
      <c r="AE39" s="4">
        <f t="shared" si="34"/>
        <v>111</v>
      </c>
      <c r="AF39" s="59">
        <f t="shared" si="33"/>
        <v>4107</v>
      </c>
      <c r="AL39" s="111">
        <v>40</v>
      </c>
      <c r="AM39" s="119">
        <f t="shared" si="25"/>
        <v>4.0847457333016566</v>
      </c>
      <c r="AN39" s="120">
        <f t="shared" si="25"/>
        <v>3.2317269928308443</v>
      </c>
      <c r="AO39" s="120">
        <f t="shared" si="25"/>
        <v>2.8387453980206416</v>
      </c>
      <c r="AP39" s="120">
        <f t="shared" si="25"/>
        <v>2.6059749491238664</v>
      </c>
      <c r="AQ39" s="120">
        <f t="shared" si="25"/>
        <v>2.4494664263887103</v>
      </c>
      <c r="AR39" s="120">
        <f t="shared" si="25"/>
        <v>2.3358524047916633</v>
      </c>
      <c r="AS39" s="121">
        <f t="shared" si="25"/>
        <v>2.2490243251473858</v>
      </c>
      <c r="AU39" s="111">
        <v>40</v>
      </c>
      <c r="AV39" s="119">
        <f t="shared" si="26"/>
        <v>7.3140999292051188</v>
      </c>
      <c r="AW39" s="120">
        <f t="shared" si="26"/>
        <v>5.1785082358833447</v>
      </c>
      <c r="AX39" s="120">
        <f t="shared" si="26"/>
        <v>4.3125692124921411</v>
      </c>
      <c r="AY39" s="120">
        <f t="shared" si="26"/>
        <v>3.8282935494048735</v>
      </c>
      <c r="AZ39" s="120">
        <f t="shared" si="26"/>
        <v>3.5138398331373706</v>
      </c>
      <c r="BA39" s="120">
        <f t="shared" si="26"/>
        <v>3.291012389298686</v>
      </c>
      <c r="BB39" s="121">
        <f t="shared" si="26"/>
        <v>3.123757056573421</v>
      </c>
    </row>
    <row r="40" spans="9:54" x14ac:dyDescent="0.15">
      <c r="I40" s="4">
        <f t="shared" si="19"/>
        <v>1024</v>
      </c>
      <c r="J40" s="4">
        <f t="shared" si="20"/>
        <v>1296</v>
      </c>
      <c r="K40" s="4">
        <f t="shared" si="21"/>
        <v>1764</v>
      </c>
      <c r="L40" s="4">
        <f t="shared" si="22"/>
        <v>0</v>
      </c>
      <c r="M40" s="4">
        <f t="shared" si="23"/>
        <v>0</v>
      </c>
      <c r="N40" s="4">
        <f t="shared" si="24"/>
        <v>0</v>
      </c>
      <c r="Y40" s="4">
        <f t="shared" si="27"/>
        <v>1849</v>
      </c>
      <c r="Z40" s="4">
        <f t="shared" si="28"/>
        <v>961</v>
      </c>
      <c r="AA40" s="4">
        <f t="shared" si="29"/>
        <v>3025</v>
      </c>
      <c r="AB40" s="4">
        <f t="shared" si="30"/>
        <v>0</v>
      </c>
      <c r="AC40" s="4">
        <f t="shared" si="31"/>
        <v>0</v>
      </c>
      <c r="AD40" s="4">
        <f t="shared" si="32"/>
        <v>0</v>
      </c>
      <c r="AE40" s="4">
        <f t="shared" si="34"/>
        <v>129</v>
      </c>
      <c r="AF40" s="59">
        <f t="shared" si="33"/>
        <v>5547</v>
      </c>
      <c r="AL40" s="111">
        <v>42</v>
      </c>
      <c r="AM40" s="119">
        <f t="shared" si="25"/>
        <v>4.0726537592505974</v>
      </c>
      <c r="AN40" s="120">
        <f t="shared" si="25"/>
        <v>3.2199422931761248</v>
      </c>
      <c r="AO40" s="120">
        <f t="shared" si="25"/>
        <v>2.8270487120861261</v>
      </c>
      <c r="AP40" s="120">
        <f t="shared" si="25"/>
        <v>2.5942633713457632</v>
      </c>
      <c r="AQ40" s="120">
        <f t="shared" si="25"/>
        <v>2.4376926403116519</v>
      </c>
      <c r="AR40" s="120">
        <f t="shared" si="25"/>
        <v>2.3239937973118296</v>
      </c>
      <c r="AS40" s="121">
        <f t="shared" si="25"/>
        <v>2.2370702950930292</v>
      </c>
      <c r="AU40" s="111">
        <v>42</v>
      </c>
      <c r="AV40" s="119">
        <f t="shared" si="26"/>
        <v>7.2795611452236546</v>
      </c>
      <c r="AW40" s="120">
        <f t="shared" si="26"/>
        <v>5.1491387794356873</v>
      </c>
      <c r="AX40" s="120">
        <f t="shared" si="26"/>
        <v>4.2852731956158445</v>
      </c>
      <c r="AY40" s="120">
        <f t="shared" si="26"/>
        <v>3.8020686696071606</v>
      </c>
      <c r="AZ40" s="120">
        <f t="shared" si="26"/>
        <v>3.4882348638582661</v>
      </c>
      <c r="BA40" s="120">
        <f t="shared" si="26"/>
        <v>3.265787316835457</v>
      </c>
      <c r="BB40" s="121">
        <f t="shared" si="26"/>
        <v>3.098770589792506</v>
      </c>
    </row>
    <row r="41" spans="9:54" x14ac:dyDescent="0.15">
      <c r="I41" s="4">
        <f t="shared" si="19"/>
        <v>1369</v>
      </c>
      <c r="J41" s="4">
        <f t="shared" si="20"/>
        <v>961</v>
      </c>
      <c r="K41" s="4">
        <f t="shared" si="21"/>
        <v>1024</v>
      </c>
      <c r="L41" s="4">
        <f t="shared" si="22"/>
        <v>0</v>
      </c>
      <c r="M41" s="4">
        <f t="shared" si="23"/>
        <v>0</v>
      </c>
      <c r="N41" s="4">
        <f t="shared" si="24"/>
        <v>0</v>
      </c>
      <c r="Y41" s="4">
        <f t="shared" si="27"/>
        <v>1296</v>
      </c>
      <c r="Z41" s="4">
        <f t="shared" si="28"/>
        <v>2809</v>
      </c>
      <c r="AA41" s="4">
        <f t="shared" si="29"/>
        <v>1764</v>
      </c>
      <c r="AB41" s="4">
        <f t="shared" si="30"/>
        <v>0</v>
      </c>
      <c r="AC41" s="4">
        <f t="shared" si="31"/>
        <v>0</v>
      </c>
      <c r="AD41" s="4">
        <f t="shared" si="32"/>
        <v>0</v>
      </c>
      <c r="AE41" s="4">
        <f t="shared" si="34"/>
        <v>131</v>
      </c>
      <c r="AF41" s="59">
        <f t="shared" si="33"/>
        <v>5720.333333333333</v>
      </c>
      <c r="AL41" s="111">
        <v>44</v>
      </c>
      <c r="AM41" s="119">
        <f t="shared" si="25"/>
        <v>4.06170646011934</v>
      </c>
      <c r="AN41" s="120">
        <f t="shared" si="25"/>
        <v>3.2092780200492017</v>
      </c>
      <c r="AO41" s="120">
        <f t="shared" si="25"/>
        <v>2.8164658165656813</v>
      </c>
      <c r="AP41" s="120">
        <f t="shared" si="25"/>
        <v>2.583667426803002</v>
      </c>
      <c r="AQ41" s="120">
        <f t="shared" si="25"/>
        <v>2.4270401198339093</v>
      </c>
      <c r="AR41" s="120">
        <f t="shared" si="25"/>
        <v>2.3132637931051216</v>
      </c>
      <c r="AS41" s="121">
        <f t="shared" si="25"/>
        <v>2.2262529125117667</v>
      </c>
      <c r="AU41" s="111">
        <v>44</v>
      </c>
      <c r="AV41" s="119">
        <f t="shared" si="26"/>
        <v>7.2483622599230291</v>
      </c>
      <c r="AW41" s="120">
        <f t="shared" si="26"/>
        <v>5.1226282677254531</v>
      </c>
      <c r="AX41" s="120">
        <f t="shared" si="26"/>
        <v>4.2606428727154206</v>
      </c>
      <c r="AY41" s="120">
        <f t="shared" si="26"/>
        <v>3.7784093476185938</v>
      </c>
      <c r="AZ41" s="120">
        <f t="shared" si="26"/>
        <v>3.4651370830344725</v>
      </c>
      <c r="BA41" s="120">
        <f t="shared" si="26"/>
        <v>3.2430331669948922</v>
      </c>
      <c r="BB41" s="121">
        <f t="shared" si="26"/>
        <v>3.0762317153605223</v>
      </c>
    </row>
    <row r="42" spans="9:54" x14ac:dyDescent="0.15">
      <c r="I42" s="4">
        <f t="shared" si="19"/>
        <v>3721</v>
      </c>
      <c r="J42" s="4">
        <f t="shared" si="20"/>
        <v>3025</v>
      </c>
      <c r="K42" s="4">
        <f t="shared" si="21"/>
        <v>6724</v>
      </c>
      <c r="L42" s="4">
        <f t="shared" si="22"/>
        <v>0</v>
      </c>
      <c r="M42" s="4">
        <f t="shared" si="23"/>
        <v>0</v>
      </c>
      <c r="N42" s="4">
        <f t="shared" si="24"/>
        <v>0</v>
      </c>
      <c r="Y42" s="4">
        <f t="shared" si="27"/>
        <v>1024</v>
      </c>
      <c r="Z42" s="4">
        <f t="shared" si="28"/>
        <v>1296</v>
      </c>
      <c r="AA42" s="4">
        <f t="shared" si="29"/>
        <v>1764</v>
      </c>
      <c r="AB42" s="4">
        <f t="shared" si="30"/>
        <v>0</v>
      </c>
      <c r="AC42" s="4">
        <f t="shared" si="31"/>
        <v>0</v>
      </c>
      <c r="AD42" s="4">
        <f t="shared" si="32"/>
        <v>0</v>
      </c>
      <c r="AE42" s="4">
        <f t="shared" si="34"/>
        <v>110</v>
      </c>
      <c r="AF42" s="59">
        <f t="shared" si="33"/>
        <v>4033.3333333333335</v>
      </c>
      <c r="AL42" s="111">
        <v>46</v>
      </c>
      <c r="AM42" s="119">
        <f t="shared" si="25"/>
        <v>4.051748692149209</v>
      </c>
      <c r="AN42" s="120">
        <f t="shared" si="25"/>
        <v>3.1995817058519904</v>
      </c>
      <c r="AO42" s="120">
        <f t="shared" si="25"/>
        <v>2.8068449288062536</v>
      </c>
      <c r="AP42" s="120">
        <f t="shared" si="25"/>
        <v>2.5740350251832314</v>
      </c>
      <c r="AQ42" s="120">
        <f t="shared" si="25"/>
        <v>2.417356036720411</v>
      </c>
      <c r="AR42" s="120">
        <f t="shared" si="25"/>
        <v>2.3035086457264162</v>
      </c>
      <c r="AS42" s="121">
        <f t="shared" si="25"/>
        <v>2.2164174502381249</v>
      </c>
      <c r="AU42" s="111">
        <v>46</v>
      </c>
      <c r="AV42" s="119">
        <f t="shared" si="26"/>
        <v>7.220041507491711</v>
      </c>
      <c r="AW42" s="120">
        <f t="shared" si="26"/>
        <v>5.0985790269262132</v>
      </c>
      <c r="AX42" s="120">
        <f t="shared" si="26"/>
        <v>4.2383063686254525</v>
      </c>
      <c r="AY42" s="120">
        <f t="shared" si="26"/>
        <v>3.7569571147217991</v>
      </c>
      <c r="AZ42" s="120">
        <f t="shared" si="26"/>
        <v>3.4441958866088789</v>
      </c>
      <c r="BA42" s="120">
        <f t="shared" si="26"/>
        <v>3.2224042794513021</v>
      </c>
      <c r="BB42" s="121">
        <f t="shared" si="26"/>
        <v>3.0557980147431589</v>
      </c>
    </row>
    <row r="43" spans="9:54" x14ac:dyDescent="0.15">
      <c r="I43" s="4">
        <f t="shared" si="19"/>
        <v>2601</v>
      </c>
      <c r="J43" s="4">
        <f t="shared" si="20"/>
        <v>5476</v>
      </c>
      <c r="K43" s="4">
        <f t="shared" si="21"/>
        <v>4356</v>
      </c>
      <c r="L43" s="4">
        <f t="shared" si="22"/>
        <v>0</v>
      </c>
      <c r="M43" s="4">
        <f t="shared" si="23"/>
        <v>0</v>
      </c>
      <c r="N43" s="4">
        <f t="shared" si="24"/>
        <v>0</v>
      </c>
      <c r="Y43" s="4">
        <f t="shared" si="27"/>
        <v>1369</v>
      </c>
      <c r="Z43" s="4">
        <f t="shared" si="28"/>
        <v>961</v>
      </c>
      <c r="AA43" s="4">
        <f t="shared" si="29"/>
        <v>1024</v>
      </c>
      <c r="AB43" s="4">
        <f t="shared" si="30"/>
        <v>0</v>
      </c>
      <c r="AC43" s="4">
        <f t="shared" si="31"/>
        <v>0</v>
      </c>
      <c r="AD43" s="4">
        <f t="shared" si="32"/>
        <v>0</v>
      </c>
      <c r="AE43" s="4">
        <f t="shared" si="34"/>
        <v>100</v>
      </c>
      <c r="AF43" s="59">
        <f t="shared" si="33"/>
        <v>3333.3333333333335</v>
      </c>
      <c r="AL43" s="111">
        <v>48</v>
      </c>
      <c r="AM43" s="119">
        <f t="shared" si="25"/>
        <v>4.0426521285666537</v>
      </c>
      <c r="AN43" s="120">
        <f t="shared" si="25"/>
        <v>3.1907273359284987</v>
      </c>
      <c r="AO43" s="120">
        <f t="shared" si="25"/>
        <v>2.7980606354356103</v>
      </c>
      <c r="AP43" s="120">
        <f t="shared" si="25"/>
        <v>2.5652405084790413</v>
      </c>
      <c r="AQ43" s="120">
        <f t="shared" si="25"/>
        <v>2.4085141194993356</v>
      </c>
      <c r="AR43" s="120">
        <f t="shared" si="25"/>
        <v>2.29460131347063</v>
      </c>
      <c r="AS43" s="121">
        <f t="shared" si="25"/>
        <v>2.2074360398263657</v>
      </c>
      <c r="AU43" s="111">
        <v>48</v>
      </c>
      <c r="AV43" s="119">
        <f t="shared" si="26"/>
        <v>7.1942184421879558</v>
      </c>
      <c r="AW43" s="120">
        <f t="shared" si="26"/>
        <v>5.076663807086125</v>
      </c>
      <c r="AX43" s="120">
        <f t="shared" si="26"/>
        <v>4.2179578381272282</v>
      </c>
      <c r="AY43" s="120">
        <f t="shared" si="26"/>
        <v>3.7374172426035344</v>
      </c>
      <c r="AZ43" s="120">
        <f t="shared" si="26"/>
        <v>3.4251230601179112</v>
      </c>
      <c r="BA43" s="120">
        <f t="shared" si="26"/>
        <v>3.2036165258632963</v>
      </c>
      <c r="BB43" s="121">
        <f t="shared" si="26"/>
        <v>3.0371880302435952</v>
      </c>
    </row>
    <row r="44" spans="9:54" x14ac:dyDescent="0.15">
      <c r="I44" s="4">
        <f t="shared" si="19"/>
        <v>625</v>
      </c>
      <c r="J44" s="4">
        <f t="shared" si="20"/>
        <v>900</v>
      </c>
      <c r="K44" s="4">
        <f t="shared" si="21"/>
        <v>2304</v>
      </c>
      <c r="L44" s="4">
        <f t="shared" si="22"/>
        <v>0</v>
      </c>
      <c r="M44" s="4">
        <f t="shared" si="23"/>
        <v>0</v>
      </c>
      <c r="N44" s="4">
        <f t="shared" si="24"/>
        <v>0</v>
      </c>
      <c r="Y44" s="4">
        <f t="shared" si="27"/>
        <v>3721</v>
      </c>
      <c r="Z44" s="4">
        <f t="shared" si="28"/>
        <v>3025</v>
      </c>
      <c r="AA44" s="4">
        <f t="shared" si="29"/>
        <v>6724</v>
      </c>
      <c r="AB44" s="4">
        <f t="shared" si="30"/>
        <v>0</v>
      </c>
      <c r="AC44" s="4">
        <f t="shared" si="31"/>
        <v>0</v>
      </c>
      <c r="AD44" s="4">
        <f t="shared" si="32"/>
        <v>0</v>
      </c>
      <c r="AE44" s="4">
        <f t="shared" si="34"/>
        <v>198</v>
      </c>
      <c r="AF44" s="59">
        <f t="shared" si="33"/>
        <v>13068</v>
      </c>
      <c r="AL44" s="111">
        <v>50</v>
      </c>
      <c r="AM44" s="119">
        <f t="shared" si="25"/>
        <v>4.0343097068029978</v>
      </c>
      <c r="AN44" s="120">
        <f t="shared" si="25"/>
        <v>3.1826098520427748</v>
      </c>
      <c r="AO44" s="120">
        <f t="shared" si="25"/>
        <v>2.7900084064022015</v>
      </c>
      <c r="AP44" s="120">
        <f t="shared" si="25"/>
        <v>2.5571791499763585</v>
      </c>
      <c r="AQ44" s="120">
        <f t="shared" si="25"/>
        <v>2.4004091270992869</v>
      </c>
      <c r="AR44" s="120">
        <f t="shared" si="25"/>
        <v>2.2864359041780218</v>
      </c>
      <c r="AS44" s="121">
        <f t="shared" si="25"/>
        <v>2.1992020871211531</v>
      </c>
      <c r="AU44" s="111">
        <v>50</v>
      </c>
      <c r="AV44" s="119">
        <f t="shared" si="26"/>
        <v>7.1705768018960665</v>
      </c>
      <c r="AW44" s="120">
        <f t="shared" si="26"/>
        <v>5.0566108654353235</v>
      </c>
      <c r="AX44" s="120">
        <f t="shared" si="26"/>
        <v>4.199343446005499</v>
      </c>
      <c r="AY44" s="120">
        <f t="shared" si="26"/>
        <v>3.7195451918808091</v>
      </c>
      <c r="AZ44" s="120">
        <f t="shared" si="26"/>
        <v>3.4076795050301358</v>
      </c>
      <c r="BA44" s="120">
        <f t="shared" si="26"/>
        <v>3.1864342141052733</v>
      </c>
      <c r="BB44" s="121">
        <f t="shared" si="26"/>
        <v>3.02016828922044</v>
      </c>
    </row>
    <row r="45" spans="9:54" x14ac:dyDescent="0.15">
      <c r="I45" s="4">
        <f t="shared" si="19"/>
        <v>0</v>
      </c>
      <c r="J45" s="4">
        <f t="shared" si="20"/>
        <v>0</v>
      </c>
      <c r="K45" s="4">
        <f t="shared" si="21"/>
        <v>0</v>
      </c>
      <c r="L45" s="4">
        <f t="shared" si="22"/>
        <v>0</v>
      </c>
      <c r="M45" s="4">
        <f t="shared" si="23"/>
        <v>0</v>
      </c>
      <c r="N45" s="4">
        <f t="shared" si="24"/>
        <v>0</v>
      </c>
      <c r="Y45" s="4">
        <f t="shared" si="27"/>
        <v>2601</v>
      </c>
      <c r="Z45" s="4">
        <f t="shared" si="28"/>
        <v>5476</v>
      </c>
      <c r="AA45" s="4">
        <f t="shared" si="29"/>
        <v>4356</v>
      </c>
      <c r="AB45" s="4">
        <f t="shared" si="30"/>
        <v>0</v>
      </c>
      <c r="AC45" s="4">
        <f t="shared" si="31"/>
        <v>0</v>
      </c>
      <c r="AD45" s="4">
        <f t="shared" si="32"/>
        <v>0</v>
      </c>
      <c r="AE45" s="4">
        <f t="shared" si="34"/>
        <v>191</v>
      </c>
      <c r="AF45" s="59">
        <f t="shared" si="33"/>
        <v>12160.333333333334</v>
      </c>
      <c r="AL45" s="111">
        <v>55</v>
      </c>
      <c r="AM45" s="119">
        <f t="shared" ref="AM45:AS55" si="35">FINV(0.05,AM$4,$AL45)</f>
        <v>4.0161954934284436</v>
      </c>
      <c r="AN45" s="120">
        <f t="shared" si="35"/>
        <v>3.164993395768759</v>
      </c>
      <c r="AO45" s="120">
        <f t="shared" si="35"/>
        <v>2.7725369078362516</v>
      </c>
      <c r="AP45" s="120">
        <f t="shared" si="35"/>
        <v>2.5396886349036807</v>
      </c>
      <c r="AQ45" s="120">
        <f t="shared" si="35"/>
        <v>2.3828233105926429</v>
      </c>
      <c r="AR45" s="120">
        <f t="shared" si="35"/>
        <v>2.2687174669879471</v>
      </c>
      <c r="AS45" s="121">
        <f t="shared" si="35"/>
        <v>2.1813327713871873</v>
      </c>
      <c r="AU45" s="111">
        <v>55</v>
      </c>
      <c r="AV45" s="119">
        <f t="shared" ref="AV45:BB55" si="36">FINV(0.01,AV$4,$AL45)</f>
        <v>7.1193765612133548</v>
      </c>
      <c r="AW45" s="120">
        <f t="shared" si="36"/>
        <v>5.0132187921394502</v>
      </c>
      <c r="AX45" s="120">
        <f t="shared" si="36"/>
        <v>4.1590806951471881</v>
      </c>
      <c r="AY45" s="120">
        <f t="shared" si="36"/>
        <v>3.6808966953285411</v>
      </c>
      <c r="AZ45" s="120">
        <f t="shared" si="36"/>
        <v>3.3699619627822854</v>
      </c>
      <c r="BA45" s="120">
        <f t="shared" si="36"/>
        <v>3.1492832463438312</v>
      </c>
      <c r="BB45" s="121">
        <f t="shared" si="36"/>
        <v>2.9833687571801843</v>
      </c>
    </row>
    <row r="46" spans="9:54" x14ac:dyDescent="0.15">
      <c r="I46" s="4">
        <f t="shared" si="19"/>
        <v>0</v>
      </c>
      <c r="J46" s="4">
        <f t="shared" si="20"/>
        <v>0</v>
      </c>
      <c r="K46" s="4">
        <f t="shared" si="21"/>
        <v>0</v>
      </c>
      <c r="L46" s="4">
        <f t="shared" si="22"/>
        <v>0</v>
      </c>
      <c r="M46" s="4">
        <f t="shared" si="23"/>
        <v>0</v>
      </c>
      <c r="N46" s="4">
        <f t="shared" si="24"/>
        <v>0</v>
      </c>
      <c r="Y46" s="4">
        <f t="shared" si="27"/>
        <v>625</v>
      </c>
      <c r="Z46" s="4">
        <f t="shared" si="28"/>
        <v>900</v>
      </c>
      <c r="AA46" s="4">
        <f t="shared" si="29"/>
        <v>2304</v>
      </c>
      <c r="AB46" s="4">
        <f t="shared" si="30"/>
        <v>0</v>
      </c>
      <c r="AC46" s="4">
        <f t="shared" si="31"/>
        <v>0</v>
      </c>
      <c r="AD46" s="4">
        <f t="shared" si="32"/>
        <v>0</v>
      </c>
      <c r="AE46" s="4">
        <f t="shared" si="34"/>
        <v>103</v>
      </c>
      <c r="AF46" s="59">
        <f t="shared" si="33"/>
        <v>3536.3333333333335</v>
      </c>
      <c r="AL46" s="111">
        <v>60</v>
      </c>
      <c r="AM46" s="119">
        <f t="shared" si="35"/>
        <v>4.001191376754992</v>
      </c>
      <c r="AN46" s="120">
        <f t="shared" si="35"/>
        <v>3.1504113105827263</v>
      </c>
      <c r="AO46" s="120">
        <f t="shared" si="35"/>
        <v>2.7580782958425822</v>
      </c>
      <c r="AP46" s="120">
        <f t="shared" si="35"/>
        <v>2.5252151019828779</v>
      </c>
      <c r="AQ46" s="120">
        <f t="shared" si="35"/>
        <v>2.3682702357010696</v>
      </c>
      <c r="AR46" s="120">
        <f t="shared" si="35"/>
        <v>2.2540530098570333</v>
      </c>
      <c r="AS46" s="121">
        <f t="shared" si="35"/>
        <v>2.1665411560494183</v>
      </c>
      <c r="AU46" s="111">
        <v>60</v>
      </c>
      <c r="AV46" s="119">
        <f t="shared" si="36"/>
        <v>7.0771057936141268</v>
      </c>
      <c r="AW46" s="120">
        <f t="shared" si="36"/>
        <v>4.9774320353949504</v>
      </c>
      <c r="AX46" s="120">
        <f t="shared" si="36"/>
        <v>4.1258919307956639</v>
      </c>
      <c r="AY46" s="120">
        <f t="shared" si="36"/>
        <v>3.6490474910949979</v>
      </c>
      <c r="AZ46" s="120">
        <f t="shared" si="36"/>
        <v>3.3388844224495311</v>
      </c>
      <c r="BA46" s="120">
        <f t="shared" si="36"/>
        <v>3.1186742715541818</v>
      </c>
      <c r="BB46" s="121">
        <f t="shared" si="36"/>
        <v>2.9530492080027</v>
      </c>
    </row>
    <row r="47" spans="9:54" x14ac:dyDescent="0.15">
      <c r="I47" s="4">
        <f t="shared" si="19"/>
        <v>0</v>
      </c>
      <c r="J47" s="4">
        <f t="shared" si="20"/>
        <v>0</v>
      </c>
      <c r="K47" s="4">
        <f t="shared" si="21"/>
        <v>0</v>
      </c>
      <c r="L47" s="4">
        <f t="shared" si="22"/>
        <v>0</v>
      </c>
      <c r="M47" s="4">
        <f t="shared" si="23"/>
        <v>0</v>
      </c>
      <c r="N47" s="4">
        <f t="shared" si="24"/>
        <v>0</v>
      </c>
      <c r="Y47" s="4">
        <f t="shared" si="27"/>
        <v>0</v>
      </c>
      <c r="Z47" s="4">
        <f t="shared" si="28"/>
        <v>0</v>
      </c>
      <c r="AA47" s="4">
        <f t="shared" si="29"/>
        <v>0</v>
      </c>
      <c r="AB47" s="4">
        <f t="shared" si="30"/>
        <v>0</v>
      </c>
      <c r="AC47" s="4">
        <f t="shared" si="31"/>
        <v>0</v>
      </c>
      <c r="AD47" s="4">
        <f t="shared" si="32"/>
        <v>0</v>
      </c>
      <c r="AE47" s="4">
        <f t="shared" si="34"/>
        <v>0</v>
      </c>
      <c r="AF47" s="59">
        <f t="shared" si="33"/>
        <v>0</v>
      </c>
      <c r="AL47" s="111">
        <v>65</v>
      </c>
      <c r="AM47" s="119">
        <f t="shared" si="35"/>
        <v>3.9885598251363867</v>
      </c>
      <c r="AN47" s="120">
        <f t="shared" si="35"/>
        <v>3.1381419349713213</v>
      </c>
      <c r="AO47" s="120">
        <f t="shared" si="35"/>
        <v>2.7459152725998672</v>
      </c>
      <c r="AP47" s="120">
        <f t="shared" si="35"/>
        <v>2.5130400960759935</v>
      </c>
      <c r="AQ47" s="120">
        <f t="shared" si="35"/>
        <v>2.3560278219221891</v>
      </c>
      <c r="AR47" s="120">
        <f t="shared" si="35"/>
        <v>2.2417157157270844</v>
      </c>
      <c r="AS47" s="121">
        <f t="shared" si="35"/>
        <v>2.1540952271688325</v>
      </c>
      <c r="AU47" s="111">
        <v>65</v>
      </c>
      <c r="AV47" s="119">
        <f t="shared" si="36"/>
        <v>7.0416166799290298</v>
      </c>
      <c r="AW47" s="120">
        <f t="shared" si="36"/>
        <v>4.9474131765441847</v>
      </c>
      <c r="AX47" s="120">
        <f t="shared" si="36"/>
        <v>4.0980644315508865</v>
      </c>
      <c r="AY47" s="120">
        <f t="shared" si="36"/>
        <v>3.6223494571408636</v>
      </c>
      <c r="AZ47" s="120">
        <f t="shared" si="36"/>
        <v>3.3128364031917599</v>
      </c>
      <c r="BA47" s="120">
        <f t="shared" si="36"/>
        <v>3.0930201841020208</v>
      </c>
      <c r="BB47" s="121">
        <f t="shared" si="36"/>
        <v>2.9276375642149421</v>
      </c>
    </row>
    <row r="48" spans="9:54" x14ac:dyDescent="0.15">
      <c r="I48" s="4">
        <f t="shared" si="19"/>
        <v>0</v>
      </c>
      <c r="J48" s="4">
        <f t="shared" si="20"/>
        <v>0</v>
      </c>
      <c r="K48" s="4">
        <f t="shared" si="21"/>
        <v>0</v>
      </c>
      <c r="L48" s="4">
        <f t="shared" si="22"/>
        <v>0</v>
      </c>
      <c r="M48" s="4">
        <f t="shared" si="23"/>
        <v>0</v>
      </c>
      <c r="N48" s="4">
        <f t="shared" si="24"/>
        <v>0</v>
      </c>
      <c r="Y48" s="4">
        <f t="shared" si="27"/>
        <v>0</v>
      </c>
      <c r="Z48" s="4">
        <f t="shared" si="28"/>
        <v>0</v>
      </c>
      <c r="AA48" s="4">
        <f t="shared" si="29"/>
        <v>0</v>
      </c>
      <c r="AB48" s="4">
        <f t="shared" si="30"/>
        <v>0</v>
      </c>
      <c r="AC48" s="4">
        <f t="shared" si="31"/>
        <v>0</v>
      </c>
      <c r="AD48" s="4">
        <f t="shared" si="32"/>
        <v>0</v>
      </c>
      <c r="AE48" s="4">
        <f t="shared" si="34"/>
        <v>0</v>
      </c>
      <c r="AF48" s="59">
        <f t="shared" si="33"/>
        <v>0</v>
      </c>
      <c r="AL48" s="111">
        <v>70</v>
      </c>
      <c r="AM48" s="119">
        <f t="shared" si="35"/>
        <v>3.9777793928101941</v>
      </c>
      <c r="AN48" s="120">
        <f t="shared" si="35"/>
        <v>3.127675600959142</v>
      </c>
      <c r="AO48" s="120">
        <f t="shared" si="35"/>
        <v>2.7355414509129554</v>
      </c>
      <c r="AP48" s="120">
        <f t="shared" si="35"/>
        <v>2.5026564633999411</v>
      </c>
      <c r="AQ48" s="120">
        <f t="shared" si="35"/>
        <v>2.3455863266192245</v>
      </c>
      <c r="AR48" s="120">
        <f t="shared" si="35"/>
        <v>2.2311924197841089</v>
      </c>
      <c r="AS48" s="121">
        <f t="shared" si="35"/>
        <v>2.1434780407053395</v>
      </c>
      <c r="AU48" s="111">
        <v>70</v>
      </c>
      <c r="AV48" s="119">
        <f t="shared" si="36"/>
        <v>7.0113988964827225</v>
      </c>
      <c r="AW48" s="120">
        <f t="shared" si="36"/>
        <v>4.9218723347962312</v>
      </c>
      <c r="AX48" s="120">
        <f t="shared" si="36"/>
        <v>4.0743968340405132</v>
      </c>
      <c r="AY48" s="120">
        <f t="shared" si="36"/>
        <v>3.5996470511490379</v>
      </c>
      <c r="AZ48" s="120">
        <f t="shared" si="36"/>
        <v>3.2906890151203561</v>
      </c>
      <c r="BA48" s="120">
        <f t="shared" si="36"/>
        <v>3.0712085910034248</v>
      </c>
      <c r="BB48" s="121">
        <f t="shared" si="36"/>
        <v>2.9060319802122154</v>
      </c>
    </row>
    <row r="49" spans="9:54" x14ac:dyDescent="0.15">
      <c r="I49" s="4">
        <f t="shared" si="19"/>
        <v>0</v>
      </c>
      <c r="J49" s="4">
        <f t="shared" si="20"/>
        <v>0</v>
      </c>
      <c r="K49" s="4">
        <f t="shared" si="21"/>
        <v>0</v>
      </c>
      <c r="L49" s="4">
        <f t="shared" si="22"/>
        <v>0</v>
      </c>
      <c r="M49" s="4">
        <f t="shared" si="23"/>
        <v>0</v>
      </c>
      <c r="N49" s="4">
        <f t="shared" si="24"/>
        <v>0</v>
      </c>
      <c r="Y49" s="4">
        <f t="shared" si="27"/>
        <v>0</v>
      </c>
      <c r="Z49" s="4">
        <f t="shared" si="28"/>
        <v>0</v>
      </c>
      <c r="AA49" s="4">
        <f t="shared" si="29"/>
        <v>0</v>
      </c>
      <c r="AB49" s="4">
        <f t="shared" si="30"/>
        <v>0</v>
      </c>
      <c r="AC49" s="4">
        <f t="shared" si="31"/>
        <v>0</v>
      </c>
      <c r="AD49" s="4">
        <f t="shared" si="32"/>
        <v>0</v>
      </c>
      <c r="AE49" s="4">
        <f t="shared" si="34"/>
        <v>0</v>
      </c>
      <c r="AF49" s="59">
        <f t="shared" si="33"/>
        <v>0</v>
      </c>
      <c r="AL49" s="111">
        <v>80</v>
      </c>
      <c r="AM49" s="119">
        <f t="shared" si="35"/>
        <v>3.9603524206149485</v>
      </c>
      <c r="AN49" s="120">
        <f t="shared" si="35"/>
        <v>3.1107661660804542</v>
      </c>
      <c r="AO49" s="120">
        <f t="shared" si="35"/>
        <v>2.7187849816349399</v>
      </c>
      <c r="AP49" s="120">
        <f t="shared" si="35"/>
        <v>2.4858849377488674</v>
      </c>
      <c r="AQ49" s="120">
        <f t="shared" si="35"/>
        <v>2.3287205886078652</v>
      </c>
      <c r="AR49" s="120">
        <f t="shared" si="35"/>
        <v>2.2141927954879144</v>
      </c>
      <c r="AS49" s="121">
        <f t="shared" si="35"/>
        <v>2.1263242827357822</v>
      </c>
      <c r="AU49" s="111">
        <v>80</v>
      </c>
      <c r="AV49" s="119">
        <f t="shared" si="36"/>
        <v>6.9626880632352064</v>
      </c>
      <c r="AW49" s="120">
        <f t="shared" si="36"/>
        <v>4.8807381720785328</v>
      </c>
      <c r="AX49" s="120">
        <f t="shared" si="36"/>
        <v>4.0362967257225009</v>
      </c>
      <c r="AY49" s="120">
        <f t="shared" si="36"/>
        <v>3.5631096344074971</v>
      </c>
      <c r="AZ49" s="120">
        <f t="shared" si="36"/>
        <v>3.2550492977450349</v>
      </c>
      <c r="BA49" s="120">
        <f t="shared" si="36"/>
        <v>3.0361108714045963</v>
      </c>
      <c r="BB49" s="121">
        <f t="shared" si="36"/>
        <v>2.8712654639421036</v>
      </c>
    </row>
    <row r="50" spans="9:54" x14ac:dyDescent="0.15">
      <c r="I50" s="4">
        <f t="shared" si="19"/>
        <v>0</v>
      </c>
      <c r="J50" s="4">
        <f t="shared" si="20"/>
        <v>0</v>
      </c>
      <c r="K50" s="4">
        <f t="shared" si="21"/>
        <v>0</v>
      </c>
      <c r="L50" s="4">
        <f t="shared" si="22"/>
        <v>0</v>
      </c>
      <c r="M50" s="4">
        <f t="shared" si="23"/>
        <v>0</v>
      </c>
      <c r="N50" s="4">
        <f t="shared" si="24"/>
        <v>0</v>
      </c>
      <c r="Y50" s="4">
        <f t="shared" si="27"/>
        <v>0</v>
      </c>
      <c r="Z50" s="4">
        <f t="shared" si="28"/>
        <v>0</v>
      </c>
      <c r="AA50" s="4">
        <f t="shared" si="29"/>
        <v>0</v>
      </c>
      <c r="AB50" s="4">
        <f t="shared" si="30"/>
        <v>0</v>
      </c>
      <c r="AC50" s="4">
        <f t="shared" si="31"/>
        <v>0</v>
      </c>
      <c r="AD50" s="4">
        <f t="shared" si="32"/>
        <v>0</v>
      </c>
      <c r="AE50" s="4">
        <f t="shared" si="34"/>
        <v>0</v>
      </c>
      <c r="AF50" s="59">
        <f t="shared" si="33"/>
        <v>0</v>
      </c>
      <c r="AL50" s="111">
        <v>100</v>
      </c>
      <c r="AM50" s="119">
        <f t="shared" si="35"/>
        <v>3.9361429863126585</v>
      </c>
      <c r="AN50" s="120">
        <f t="shared" si="35"/>
        <v>3.0872958927489331</v>
      </c>
      <c r="AO50" s="120">
        <f t="shared" si="35"/>
        <v>2.6955342548881398</v>
      </c>
      <c r="AP50" s="120">
        <f t="shared" si="35"/>
        <v>2.4626149259116423</v>
      </c>
      <c r="AQ50" s="120">
        <f t="shared" si="35"/>
        <v>2.3053182416752289</v>
      </c>
      <c r="AR50" s="120">
        <f t="shared" si="35"/>
        <v>2.1906009404290376</v>
      </c>
      <c r="AS50" s="121">
        <f t="shared" si="35"/>
        <v>2.1025132945527765</v>
      </c>
      <c r="AU50" s="111">
        <v>100</v>
      </c>
      <c r="AV50" s="119">
        <f t="shared" si="36"/>
        <v>6.8953010305780191</v>
      </c>
      <c r="AW50" s="120">
        <f t="shared" si="36"/>
        <v>4.8239098071592519</v>
      </c>
      <c r="AX50" s="120">
        <f t="shared" si="36"/>
        <v>3.9836953138808928</v>
      </c>
      <c r="AY50" s="120">
        <f t="shared" si="36"/>
        <v>3.5126840636049863</v>
      </c>
      <c r="AZ50" s="120">
        <f t="shared" si="36"/>
        <v>3.2058717714230029</v>
      </c>
      <c r="BA50" s="120">
        <f t="shared" si="36"/>
        <v>2.9876844968159748</v>
      </c>
      <c r="BB50" s="121">
        <f t="shared" si="36"/>
        <v>2.8232953175445195</v>
      </c>
    </row>
    <row r="51" spans="9:54" x14ac:dyDescent="0.15">
      <c r="I51" s="4">
        <f t="shared" si="19"/>
        <v>0</v>
      </c>
      <c r="J51" s="4">
        <f t="shared" si="20"/>
        <v>0</v>
      </c>
      <c r="K51" s="4">
        <f t="shared" si="21"/>
        <v>0</v>
      </c>
      <c r="L51" s="4">
        <f t="shared" si="22"/>
        <v>0</v>
      </c>
      <c r="M51" s="4">
        <f t="shared" si="23"/>
        <v>0</v>
      </c>
      <c r="N51" s="4">
        <f t="shared" si="24"/>
        <v>0</v>
      </c>
      <c r="Y51" s="4">
        <f t="shared" si="27"/>
        <v>0</v>
      </c>
      <c r="Z51" s="4">
        <f t="shared" si="28"/>
        <v>0</v>
      </c>
      <c r="AA51" s="4">
        <f t="shared" si="29"/>
        <v>0</v>
      </c>
      <c r="AB51" s="4">
        <f t="shared" si="30"/>
        <v>0</v>
      </c>
      <c r="AC51" s="4">
        <f t="shared" si="31"/>
        <v>0</v>
      </c>
      <c r="AD51" s="4">
        <f t="shared" si="32"/>
        <v>0</v>
      </c>
      <c r="AE51" s="4">
        <f t="shared" si="34"/>
        <v>0</v>
      </c>
      <c r="AF51" s="59">
        <f t="shared" si="33"/>
        <v>0</v>
      </c>
      <c r="AL51" s="111">
        <v>125</v>
      </c>
      <c r="AM51" s="119">
        <f t="shared" si="35"/>
        <v>3.9169322405025397</v>
      </c>
      <c r="AN51" s="120">
        <f t="shared" si="35"/>
        <v>3.0686885372962918</v>
      </c>
      <c r="AO51" s="120">
        <f t="shared" si="35"/>
        <v>2.6771069890604329</v>
      </c>
      <c r="AP51" s="120">
        <f t="shared" si="35"/>
        <v>2.4441736904897273</v>
      </c>
      <c r="AQ51" s="120">
        <f t="shared" si="35"/>
        <v>2.2867707198882772</v>
      </c>
      <c r="AR51" s="120">
        <f t="shared" si="35"/>
        <v>2.1719000062627583</v>
      </c>
      <c r="AS51" s="121">
        <f t="shared" si="35"/>
        <v>2.0836341452590235</v>
      </c>
      <c r="AU51" s="111">
        <v>125</v>
      </c>
      <c r="AV51" s="119">
        <f t="shared" si="36"/>
        <v>6.8420610976954483</v>
      </c>
      <c r="AW51" s="120">
        <f t="shared" si="36"/>
        <v>4.7790758518646808</v>
      </c>
      <c r="AX51" s="120">
        <f t="shared" si="36"/>
        <v>3.9422255261902408</v>
      </c>
      <c r="AY51" s="120">
        <f t="shared" si="36"/>
        <v>3.4729449535874894</v>
      </c>
      <c r="AZ51" s="120">
        <f t="shared" si="36"/>
        <v>3.167123772905271</v>
      </c>
      <c r="BA51" s="120">
        <f t="shared" si="36"/>
        <v>2.9495309858506134</v>
      </c>
      <c r="BB51" s="121">
        <f t="shared" si="36"/>
        <v>2.7855004782383617</v>
      </c>
    </row>
    <row r="52" spans="9:54" x14ac:dyDescent="0.15">
      <c r="I52" s="4">
        <f t="shared" si="19"/>
        <v>0</v>
      </c>
      <c r="J52" s="4">
        <f t="shared" si="20"/>
        <v>0</v>
      </c>
      <c r="K52" s="4">
        <f t="shared" si="21"/>
        <v>0</v>
      </c>
      <c r="L52" s="4">
        <f t="shared" si="22"/>
        <v>0</v>
      </c>
      <c r="M52" s="4">
        <f t="shared" si="23"/>
        <v>0</v>
      </c>
      <c r="N52" s="4">
        <f t="shared" si="24"/>
        <v>0</v>
      </c>
      <c r="Y52" s="4">
        <f t="shared" si="27"/>
        <v>0</v>
      </c>
      <c r="Z52" s="4">
        <f t="shared" si="28"/>
        <v>0</v>
      </c>
      <c r="AA52" s="4">
        <f t="shared" si="29"/>
        <v>0</v>
      </c>
      <c r="AB52" s="4">
        <f t="shared" si="30"/>
        <v>0</v>
      </c>
      <c r="AC52" s="4">
        <f t="shared" si="31"/>
        <v>0</v>
      </c>
      <c r="AD52" s="4">
        <f t="shared" si="32"/>
        <v>0</v>
      </c>
      <c r="AE52" s="4">
        <f t="shared" si="34"/>
        <v>0</v>
      </c>
      <c r="AF52" s="59">
        <f t="shared" si="33"/>
        <v>0</v>
      </c>
      <c r="AL52" s="111">
        <v>150</v>
      </c>
      <c r="AM52" s="119">
        <f t="shared" si="35"/>
        <v>3.9042018766656765</v>
      </c>
      <c r="AN52" s="120">
        <f t="shared" si="35"/>
        <v>3.056366295139044</v>
      </c>
      <c r="AO52" s="120">
        <f t="shared" si="35"/>
        <v>2.6649069696131087</v>
      </c>
      <c r="AP52" s="120">
        <f t="shared" si="35"/>
        <v>2.4319650564122641</v>
      </c>
      <c r="AQ52" s="120">
        <f t="shared" si="35"/>
        <v>2.274490998607126</v>
      </c>
      <c r="AR52" s="120">
        <f t="shared" si="35"/>
        <v>2.1595170861764643</v>
      </c>
      <c r="AS52" s="121">
        <f t="shared" si="35"/>
        <v>2.071130932833487</v>
      </c>
      <c r="AU52" s="111">
        <v>150</v>
      </c>
      <c r="AV52" s="119">
        <f t="shared" si="36"/>
        <v>6.8068943886929576</v>
      </c>
      <c r="AW52" s="120">
        <f t="shared" si="36"/>
        <v>4.7494928727870906</v>
      </c>
      <c r="AX52" s="120">
        <f t="shared" si="36"/>
        <v>3.9148767427834636</v>
      </c>
      <c r="AY52" s="120">
        <f t="shared" si="36"/>
        <v>3.4467450313787711</v>
      </c>
      <c r="AZ52" s="120">
        <f t="shared" si="36"/>
        <v>3.1415809817578304</v>
      </c>
      <c r="BA52" s="120">
        <f t="shared" si="36"/>
        <v>2.9243813377323526</v>
      </c>
      <c r="BB52" s="121">
        <f t="shared" si="36"/>
        <v>2.7605868064447807</v>
      </c>
    </row>
    <row r="53" spans="9:54" x14ac:dyDescent="0.15">
      <c r="I53" s="4">
        <f t="shared" si="19"/>
        <v>0</v>
      </c>
      <c r="J53" s="4">
        <f t="shared" si="20"/>
        <v>0</v>
      </c>
      <c r="K53" s="4">
        <f t="shared" si="21"/>
        <v>0</v>
      </c>
      <c r="L53" s="4">
        <f t="shared" si="22"/>
        <v>0</v>
      </c>
      <c r="M53" s="4">
        <f t="shared" si="23"/>
        <v>0</v>
      </c>
      <c r="N53" s="4">
        <f t="shared" si="24"/>
        <v>0</v>
      </c>
      <c r="Y53" s="4">
        <f t="shared" si="27"/>
        <v>0</v>
      </c>
      <c r="Z53" s="4">
        <f t="shared" si="28"/>
        <v>0</v>
      </c>
      <c r="AA53" s="4">
        <f t="shared" si="29"/>
        <v>0</v>
      </c>
      <c r="AB53" s="4">
        <f t="shared" si="30"/>
        <v>0</v>
      </c>
      <c r="AC53" s="4">
        <f t="shared" si="31"/>
        <v>0</v>
      </c>
      <c r="AD53" s="4">
        <f t="shared" si="32"/>
        <v>0</v>
      </c>
      <c r="AE53" s="4">
        <f t="shared" si="34"/>
        <v>0</v>
      </c>
      <c r="AF53" s="59">
        <f t="shared" si="33"/>
        <v>0</v>
      </c>
      <c r="AL53" s="111">
        <v>200</v>
      </c>
      <c r="AM53" s="119">
        <f t="shared" si="35"/>
        <v>3.8883747167816729</v>
      </c>
      <c r="AN53" s="120">
        <f t="shared" si="35"/>
        <v>3.041055791125248</v>
      </c>
      <c r="AO53" s="120">
        <f t="shared" si="35"/>
        <v>2.6497516433979591</v>
      </c>
      <c r="AP53" s="120">
        <f t="shared" si="35"/>
        <v>2.4167997269534731</v>
      </c>
      <c r="AQ53" s="120">
        <f t="shared" si="35"/>
        <v>2.2592365296661323</v>
      </c>
      <c r="AR53" s="120">
        <f t="shared" si="35"/>
        <v>2.1441325480932862</v>
      </c>
      <c r="AS53" s="121">
        <f t="shared" si="35"/>
        <v>2.0555943165696848</v>
      </c>
      <c r="AU53" s="111">
        <v>200</v>
      </c>
      <c r="AV53" s="119">
        <f t="shared" si="36"/>
        <v>6.7632994707053671</v>
      </c>
      <c r="AW53" s="120">
        <f t="shared" si="36"/>
        <v>4.7128548050899468</v>
      </c>
      <c r="AX53" s="120">
        <f t="shared" si="36"/>
        <v>3.8810217726221876</v>
      </c>
      <c r="AY53" s="120">
        <f t="shared" si="36"/>
        <v>3.4143206108907114</v>
      </c>
      <c r="AZ53" s="120">
        <f t="shared" si="36"/>
        <v>3.1099739214507465</v>
      </c>
      <c r="BA53" s="120">
        <f t="shared" si="36"/>
        <v>2.8932621224570103</v>
      </c>
      <c r="BB53" s="121">
        <f t="shared" si="36"/>
        <v>2.729759010476557</v>
      </c>
    </row>
    <row r="54" spans="9:54" x14ac:dyDescent="0.15">
      <c r="I54" s="4">
        <f t="shared" si="19"/>
        <v>0</v>
      </c>
      <c r="J54" s="4">
        <f t="shared" si="20"/>
        <v>0</v>
      </c>
      <c r="K54" s="4">
        <f t="shared" si="21"/>
        <v>0</v>
      </c>
      <c r="L54" s="4">
        <f t="shared" si="22"/>
        <v>0</v>
      </c>
      <c r="M54" s="4">
        <f t="shared" si="23"/>
        <v>0</v>
      </c>
      <c r="N54" s="4">
        <f t="shared" si="24"/>
        <v>0</v>
      </c>
      <c r="Y54" s="4">
        <f t="shared" si="27"/>
        <v>0</v>
      </c>
      <c r="Z54" s="4">
        <f t="shared" si="28"/>
        <v>0</v>
      </c>
      <c r="AA54" s="4">
        <f t="shared" si="29"/>
        <v>0</v>
      </c>
      <c r="AB54" s="4">
        <f t="shared" si="30"/>
        <v>0</v>
      </c>
      <c r="AC54" s="4">
        <f t="shared" si="31"/>
        <v>0</v>
      </c>
      <c r="AD54" s="4">
        <f t="shared" si="32"/>
        <v>0</v>
      </c>
      <c r="AE54" s="4">
        <f t="shared" si="34"/>
        <v>0</v>
      </c>
      <c r="AF54" s="59">
        <f t="shared" si="33"/>
        <v>0</v>
      </c>
      <c r="AL54" s="111">
        <v>400</v>
      </c>
      <c r="AM54" s="119">
        <f t="shared" si="35"/>
        <v>3.8648113412619756</v>
      </c>
      <c r="AN54" s="120">
        <f t="shared" si="35"/>
        <v>3.018280744493798</v>
      </c>
      <c r="AO54" s="120">
        <f t="shared" si="35"/>
        <v>2.627214285732788</v>
      </c>
      <c r="AP54" s="120">
        <f t="shared" si="35"/>
        <v>2.3942489116038446</v>
      </c>
      <c r="AQ54" s="120">
        <f t="shared" si="35"/>
        <v>2.236551370225019</v>
      </c>
      <c r="AR54" s="120">
        <f t="shared" si="35"/>
        <v>2.1212499820505784</v>
      </c>
      <c r="AS54" s="121">
        <f t="shared" si="35"/>
        <v>2.032479959084998</v>
      </c>
      <c r="AU54" s="111">
        <v>400</v>
      </c>
      <c r="AV54" s="119">
        <f t="shared" si="36"/>
        <v>6.6986554212640064</v>
      </c>
      <c r="AW54" s="120">
        <f t="shared" si="36"/>
        <v>4.6585984561508269</v>
      </c>
      <c r="AX54" s="120">
        <f t="shared" si="36"/>
        <v>3.83091999474067</v>
      </c>
      <c r="AY54" s="120">
        <f t="shared" si="36"/>
        <v>3.3663531744994954</v>
      </c>
      <c r="AZ54" s="120">
        <f t="shared" si="36"/>
        <v>3.0632240995487519</v>
      </c>
      <c r="BA54" s="120">
        <f t="shared" si="36"/>
        <v>2.8472365942762918</v>
      </c>
      <c r="BB54" s="121">
        <f t="shared" si="36"/>
        <v>2.6841631659920435</v>
      </c>
    </row>
    <row r="55" spans="9:54" ht="14" thickBot="1" x14ac:dyDescent="0.2">
      <c r="I55" s="4">
        <f t="shared" si="19"/>
        <v>0</v>
      </c>
      <c r="J55" s="4">
        <f t="shared" si="20"/>
        <v>0</v>
      </c>
      <c r="K55" s="4">
        <f t="shared" si="21"/>
        <v>0</v>
      </c>
      <c r="L55" s="4">
        <f t="shared" si="22"/>
        <v>0</v>
      </c>
      <c r="M55" s="4">
        <f t="shared" si="23"/>
        <v>0</v>
      </c>
      <c r="N55" s="4">
        <f t="shared" si="24"/>
        <v>0</v>
      </c>
      <c r="Y55" s="4">
        <f t="shared" si="27"/>
        <v>0</v>
      </c>
      <c r="Z55" s="4">
        <f t="shared" si="28"/>
        <v>0</v>
      </c>
      <c r="AA55" s="4">
        <f t="shared" si="29"/>
        <v>0</v>
      </c>
      <c r="AB55" s="4">
        <f t="shared" si="30"/>
        <v>0</v>
      </c>
      <c r="AC55" s="4">
        <f t="shared" si="31"/>
        <v>0</v>
      </c>
      <c r="AD55" s="4">
        <f t="shared" si="32"/>
        <v>0</v>
      </c>
      <c r="AE55" s="4">
        <f t="shared" si="34"/>
        <v>0</v>
      </c>
      <c r="AF55" s="59">
        <f t="shared" si="33"/>
        <v>0</v>
      </c>
      <c r="AL55" s="111">
        <v>1000</v>
      </c>
      <c r="AM55" s="148">
        <f t="shared" si="35"/>
        <v>3.8507746681385955</v>
      </c>
      <c r="AN55" s="149">
        <f t="shared" si="35"/>
        <v>3.0047246355778658</v>
      </c>
      <c r="AO55" s="149">
        <f t="shared" si="35"/>
        <v>2.613803580693618</v>
      </c>
      <c r="AP55" s="149">
        <f t="shared" si="35"/>
        <v>2.3808309958597729</v>
      </c>
      <c r="AQ55" s="149">
        <f t="shared" si="35"/>
        <v>2.2230524524675825</v>
      </c>
      <c r="AR55" s="149">
        <f t="shared" si="35"/>
        <v>2.1076312504773362</v>
      </c>
      <c r="AS55" s="150">
        <f t="shared" si="35"/>
        <v>2.0187199721431717</v>
      </c>
      <c r="AU55" s="111">
        <v>1000</v>
      </c>
      <c r="AV55" s="148">
        <f t="shared" si="36"/>
        <v>6.6602948115894423</v>
      </c>
      <c r="AW55" s="149">
        <f t="shared" si="36"/>
        <v>4.62644303834219</v>
      </c>
      <c r="AX55" s="149">
        <f t="shared" si="36"/>
        <v>3.8012457715004349</v>
      </c>
      <c r="AY55" s="149">
        <f t="shared" si="36"/>
        <v>3.3379529617397541</v>
      </c>
      <c r="AZ55" s="149">
        <f t="shared" si="36"/>
        <v>3.0355496148312655</v>
      </c>
      <c r="BA55" s="149">
        <f t="shared" si="36"/>
        <v>2.8199923771638691</v>
      </c>
      <c r="BB55" s="150">
        <f t="shared" si="36"/>
        <v>2.6571724428587262</v>
      </c>
    </row>
    <row r="56" spans="9:54" x14ac:dyDescent="0.15">
      <c r="I56" s="4">
        <f t="shared" si="19"/>
        <v>0</v>
      </c>
      <c r="J56" s="4">
        <f t="shared" si="20"/>
        <v>0</v>
      </c>
      <c r="K56" s="4">
        <f t="shared" si="21"/>
        <v>0</v>
      </c>
      <c r="L56" s="4">
        <f t="shared" si="22"/>
        <v>0</v>
      </c>
      <c r="M56" s="4">
        <f t="shared" si="23"/>
        <v>0</v>
      </c>
      <c r="N56" s="4">
        <f t="shared" si="24"/>
        <v>0</v>
      </c>
      <c r="Y56" s="4">
        <f t="shared" si="27"/>
        <v>0</v>
      </c>
      <c r="Z56" s="4">
        <f t="shared" si="28"/>
        <v>0</v>
      </c>
      <c r="AA56" s="4">
        <f t="shared" si="29"/>
        <v>0</v>
      </c>
      <c r="AB56" s="4">
        <f t="shared" si="30"/>
        <v>0</v>
      </c>
      <c r="AC56" s="4">
        <f t="shared" si="31"/>
        <v>0</v>
      </c>
      <c r="AD56" s="4">
        <f t="shared" si="32"/>
        <v>0</v>
      </c>
      <c r="AE56" s="4">
        <f t="shared" si="34"/>
        <v>0</v>
      </c>
      <c r="AF56" s="59">
        <f t="shared" si="33"/>
        <v>0</v>
      </c>
    </row>
    <row r="57" spans="9:54" x14ac:dyDescent="0.15">
      <c r="I57" s="4">
        <f t="shared" si="19"/>
        <v>0</v>
      </c>
      <c r="J57" s="4">
        <f t="shared" si="20"/>
        <v>0</v>
      </c>
      <c r="K57" s="4">
        <f t="shared" si="21"/>
        <v>0</v>
      </c>
      <c r="L57" s="4">
        <f t="shared" si="22"/>
        <v>0</v>
      </c>
      <c r="M57" s="4">
        <f t="shared" si="23"/>
        <v>0</v>
      </c>
      <c r="N57" s="4">
        <f t="shared" si="24"/>
        <v>0</v>
      </c>
      <c r="Y57" s="4">
        <f t="shared" si="27"/>
        <v>0</v>
      </c>
      <c r="Z57" s="4">
        <f t="shared" si="28"/>
        <v>0</v>
      </c>
      <c r="AA57" s="4">
        <f t="shared" si="29"/>
        <v>0</v>
      </c>
      <c r="AB57" s="4">
        <f t="shared" si="30"/>
        <v>0</v>
      </c>
      <c r="AC57" s="4">
        <f t="shared" si="31"/>
        <v>0</v>
      </c>
      <c r="AD57" s="4">
        <f t="shared" si="32"/>
        <v>0</v>
      </c>
      <c r="AE57" s="4">
        <f t="shared" si="34"/>
        <v>0</v>
      </c>
      <c r="AF57" s="59">
        <f t="shared" si="33"/>
        <v>0</v>
      </c>
    </row>
    <row r="58" spans="9:54" x14ac:dyDescent="0.15">
      <c r="I58" s="4">
        <f t="shared" si="19"/>
        <v>0</v>
      </c>
      <c r="J58" s="4">
        <f t="shared" si="20"/>
        <v>0</v>
      </c>
      <c r="K58" s="4">
        <f t="shared" si="21"/>
        <v>0</v>
      </c>
      <c r="L58" s="4">
        <f t="shared" si="22"/>
        <v>0</v>
      </c>
      <c r="M58" s="4">
        <f t="shared" si="23"/>
        <v>0</v>
      </c>
      <c r="N58" s="4">
        <f t="shared" si="24"/>
        <v>0</v>
      </c>
      <c r="Y58" s="4">
        <f t="shared" si="27"/>
        <v>0</v>
      </c>
      <c r="Z58" s="4">
        <f t="shared" si="28"/>
        <v>0</v>
      </c>
      <c r="AA58" s="4">
        <f t="shared" si="29"/>
        <v>0</v>
      </c>
      <c r="AB58" s="4">
        <f t="shared" si="30"/>
        <v>0</v>
      </c>
      <c r="AC58" s="4">
        <f t="shared" si="31"/>
        <v>0</v>
      </c>
      <c r="AD58" s="4">
        <f t="shared" si="32"/>
        <v>0</v>
      </c>
      <c r="AE58" s="4">
        <f t="shared" si="34"/>
        <v>0</v>
      </c>
      <c r="AF58" s="59">
        <f t="shared" si="33"/>
        <v>0</v>
      </c>
    </row>
    <row r="59" spans="9:54" x14ac:dyDescent="0.15">
      <c r="I59" s="4">
        <f t="shared" si="19"/>
        <v>0</v>
      </c>
      <c r="J59" s="4">
        <f t="shared" si="20"/>
        <v>0</v>
      </c>
      <c r="K59" s="4">
        <f t="shared" si="21"/>
        <v>0</v>
      </c>
      <c r="L59" s="4">
        <f t="shared" si="22"/>
        <v>0</v>
      </c>
      <c r="M59" s="4">
        <f t="shared" si="23"/>
        <v>0</v>
      </c>
      <c r="N59" s="4">
        <f t="shared" si="24"/>
        <v>0</v>
      </c>
      <c r="Y59" s="4">
        <f t="shared" si="27"/>
        <v>0</v>
      </c>
      <c r="Z59" s="4">
        <f t="shared" si="28"/>
        <v>0</v>
      </c>
      <c r="AA59" s="4">
        <f t="shared" si="29"/>
        <v>0</v>
      </c>
      <c r="AB59" s="4">
        <f t="shared" si="30"/>
        <v>0</v>
      </c>
      <c r="AC59" s="4">
        <f t="shared" si="31"/>
        <v>0</v>
      </c>
      <c r="AD59" s="4">
        <f t="shared" si="32"/>
        <v>0</v>
      </c>
      <c r="AE59" s="4">
        <f t="shared" si="34"/>
        <v>0</v>
      </c>
      <c r="AF59" s="59">
        <f t="shared" si="33"/>
        <v>0</v>
      </c>
    </row>
    <row r="60" spans="9:54" x14ac:dyDescent="0.15">
      <c r="I60" s="4">
        <f t="shared" si="19"/>
        <v>0</v>
      </c>
      <c r="J60" s="4">
        <f t="shared" si="20"/>
        <v>0</v>
      </c>
      <c r="K60" s="4">
        <f t="shared" si="21"/>
        <v>0</v>
      </c>
      <c r="L60" s="4">
        <f t="shared" si="22"/>
        <v>0</v>
      </c>
      <c r="M60" s="4">
        <f t="shared" si="23"/>
        <v>0</v>
      </c>
      <c r="N60" s="4">
        <f t="shared" si="24"/>
        <v>0</v>
      </c>
      <c r="Y60" s="4">
        <f t="shared" si="27"/>
        <v>0</v>
      </c>
      <c r="Z60" s="4">
        <f t="shared" si="28"/>
        <v>0</v>
      </c>
      <c r="AA60" s="4">
        <f t="shared" si="29"/>
        <v>0</v>
      </c>
      <c r="AB60" s="4">
        <f t="shared" si="30"/>
        <v>0</v>
      </c>
      <c r="AC60" s="4">
        <f t="shared" si="31"/>
        <v>0</v>
      </c>
      <c r="AD60" s="4">
        <f t="shared" si="32"/>
        <v>0</v>
      </c>
      <c r="AE60" s="4">
        <f t="shared" si="34"/>
        <v>0</v>
      </c>
      <c r="AF60" s="59">
        <f t="shared" si="33"/>
        <v>0</v>
      </c>
    </row>
    <row r="61" spans="9:54" x14ac:dyDescent="0.15">
      <c r="I61" s="4">
        <f t="shared" si="19"/>
        <v>0</v>
      </c>
      <c r="J61" s="4">
        <f t="shared" si="20"/>
        <v>0</v>
      </c>
      <c r="K61" s="4">
        <f t="shared" si="21"/>
        <v>0</v>
      </c>
      <c r="L61" s="4">
        <f t="shared" si="22"/>
        <v>0</v>
      </c>
      <c r="M61" s="4">
        <f t="shared" si="23"/>
        <v>0</v>
      </c>
      <c r="N61" s="4">
        <f t="shared" si="24"/>
        <v>0</v>
      </c>
      <c r="Y61" s="4">
        <f t="shared" si="27"/>
        <v>0</v>
      </c>
      <c r="Z61" s="4">
        <f t="shared" si="28"/>
        <v>0</v>
      </c>
      <c r="AA61" s="4">
        <f t="shared" si="29"/>
        <v>0</v>
      </c>
      <c r="AB61" s="4">
        <f t="shared" si="30"/>
        <v>0</v>
      </c>
      <c r="AC61" s="4">
        <f t="shared" si="31"/>
        <v>0</v>
      </c>
      <c r="AD61" s="4">
        <f t="shared" si="32"/>
        <v>0</v>
      </c>
      <c r="AE61" s="4">
        <f t="shared" si="34"/>
        <v>0</v>
      </c>
      <c r="AF61" s="59">
        <f t="shared" si="33"/>
        <v>0</v>
      </c>
    </row>
    <row r="62" spans="9:54" x14ac:dyDescent="0.15">
      <c r="I62" s="4">
        <f t="shared" si="19"/>
        <v>0</v>
      </c>
      <c r="J62" s="4">
        <f t="shared" si="20"/>
        <v>0</v>
      </c>
      <c r="K62" s="4">
        <f t="shared" si="21"/>
        <v>0</v>
      </c>
      <c r="L62" s="4">
        <f t="shared" si="22"/>
        <v>0</v>
      </c>
      <c r="M62" s="4">
        <f t="shared" si="23"/>
        <v>0</v>
      </c>
      <c r="N62" s="4">
        <f t="shared" si="24"/>
        <v>0</v>
      </c>
      <c r="Y62" s="4">
        <f t="shared" si="27"/>
        <v>0</v>
      </c>
      <c r="Z62" s="4">
        <f t="shared" si="28"/>
        <v>0</v>
      </c>
      <c r="AA62" s="4">
        <f t="shared" si="29"/>
        <v>0</v>
      </c>
      <c r="AB62" s="4">
        <f t="shared" si="30"/>
        <v>0</v>
      </c>
      <c r="AC62" s="4">
        <f t="shared" si="31"/>
        <v>0</v>
      </c>
      <c r="AD62" s="4">
        <f t="shared" si="32"/>
        <v>0</v>
      </c>
      <c r="AE62" s="4">
        <f t="shared" si="34"/>
        <v>0</v>
      </c>
      <c r="AF62" s="59">
        <f t="shared" si="33"/>
        <v>0</v>
      </c>
    </row>
    <row r="63" spans="9:54" x14ac:dyDescent="0.15">
      <c r="I63" s="4">
        <f t="shared" si="19"/>
        <v>0</v>
      </c>
      <c r="J63" s="4">
        <f t="shared" si="20"/>
        <v>0</v>
      </c>
      <c r="K63" s="4">
        <f t="shared" si="21"/>
        <v>0</v>
      </c>
      <c r="L63" s="4">
        <f t="shared" si="22"/>
        <v>0</v>
      </c>
      <c r="M63" s="4">
        <f t="shared" si="23"/>
        <v>0</v>
      </c>
      <c r="N63" s="4">
        <f t="shared" si="24"/>
        <v>0</v>
      </c>
      <c r="Y63" s="4">
        <f t="shared" si="27"/>
        <v>0</v>
      </c>
      <c r="Z63" s="4">
        <f t="shared" si="28"/>
        <v>0</v>
      </c>
      <c r="AA63" s="4">
        <f t="shared" si="29"/>
        <v>0</v>
      </c>
      <c r="AB63" s="4">
        <f t="shared" si="30"/>
        <v>0</v>
      </c>
      <c r="AC63" s="4">
        <f t="shared" si="31"/>
        <v>0</v>
      </c>
      <c r="AD63" s="4">
        <f t="shared" si="32"/>
        <v>0</v>
      </c>
      <c r="AE63" s="4">
        <f t="shared" si="34"/>
        <v>0</v>
      </c>
      <c r="AF63" s="59">
        <f t="shared" si="33"/>
        <v>0</v>
      </c>
    </row>
    <row r="64" spans="9:54" x14ac:dyDescent="0.15">
      <c r="I64" s="4">
        <f t="shared" si="19"/>
        <v>0</v>
      </c>
      <c r="J64" s="4">
        <f t="shared" si="20"/>
        <v>0</v>
      </c>
      <c r="K64" s="4">
        <f t="shared" si="21"/>
        <v>0</v>
      </c>
      <c r="L64" s="4">
        <f t="shared" si="22"/>
        <v>0</v>
      </c>
      <c r="M64" s="4">
        <f t="shared" si="23"/>
        <v>0</v>
      </c>
      <c r="N64" s="4">
        <f t="shared" si="24"/>
        <v>0</v>
      </c>
      <c r="Y64" s="4">
        <f t="shared" si="27"/>
        <v>0</v>
      </c>
      <c r="Z64" s="4">
        <f t="shared" si="28"/>
        <v>0</v>
      </c>
      <c r="AA64" s="4">
        <f t="shared" si="29"/>
        <v>0</v>
      </c>
      <c r="AB64" s="4">
        <f t="shared" si="30"/>
        <v>0</v>
      </c>
      <c r="AC64" s="4">
        <f t="shared" si="31"/>
        <v>0</v>
      </c>
      <c r="AD64" s="4">
        <f t="shared" si="32"/>
        <v>0</v>
      </c>
      <c r="AE64" s="4">
        <f t="shared" si="34"/>
        <v>0</v>
      </c>
      <c r="AF64" s="59">
        <f t="shared" si="33"/>
        <v>0</v>
      </c>
    </row>
    <row r="65" spans="9:32" x14ac:dyDescent="0.15">
      <c r="I65" s="4">
        <f t="shared" si="19"/>
        <v>0</v>
      </c>
      <c r="J65" s="4">
        <f t="shared" si="20"/>
        <v>0</v>
      </c>
      <c r="K65" s="4">
        <f t="shared" si="21"/>
        <v>0</v>
      </c>
      <c r="L65" s="4">
        <f t="shared" si="22"/>
        <v>0</v>
      </c>
      <c r="M65" s="4">
        <f t="shared" si="23"/>
        <v>0</v>
      </c>
      <c r="N65" s="4">
        <f t="shared" si="24"/>
        <v>0</v>
      </c>
      <c r="Y65" s="4">
        <f t="shared" si="27"/>
        <v>0</v>
      </c>
      <c r="Z65" s="4">
        <f t="shared" si="28"/>
        <v>0</v>
      </c>
      <c r="AA65" s="4">
        <f t="shared" si="29"/>
        <v>0</v>
      </c>
      <c r="AB65" s="4">
        <f t="shared" si="30"/>
        <v>0</v>
      </c>
      <c r="AC65" s="4">
        <f t="shared" si="31"/>
        <v>0</v>
      </c>
      <c r="AD65" s="4">
        <f t="shared" si="32"/>
        <v>0</v>
      </c>
      <c r="AE65" s="4">
        <f t="shared" si="34"/>
        <v>0</v>
      </c>
      <c r="AF65" s="59">
        <f t="shared" si="33"/>
        <v>0</v>
      </c>
    </row>
    <row r="66" spans="9:32" x14ac:dyDescent="0.15">
      <c r="I66" s="4">
        <f t="shared" si="19"/>
        <v>0</v>
      </c>
      <c r="J66" s="4">
        <f t="shared" si="20"/>
        <v>0</v>
      </c>
      <c r="K66" s="4">
        <f t="shared" si="21"/>
        <v>0</v>
      </c>
      <c r="L66" s="4">
        <f t="shared" si="22"/>
        <v>0</v>
      </c>
      <c r="M66" s="4">
        <f t="shared" si="23"/>
        <v>0</v>
      </c>
      <c r="N66" s="4">
        <f t="shared" si="24"/>
        <v>0</v>
      </c>
      <c r="Y66" s="4">
        <f t="shared" si="27"/>
        <v>0</v>
      </c>
      <c r="Z66" s="4">
        <f t="shared" si="28"/>
        <v>0</v>
      </c>
      <c r="AA66" s="4">
        <f t="shared" si="29"/>
        <v>0</v>
      </c>
      <c r="AB66" s="4">
        <f t="shared" si="30"/>
        <v>0</v>
      </c>
      <c r="AC66" s="4">
        <f t="shared" si="31"/>
        <v>0</v>
      </c>
      <c r="AD66" s="4">
        <f t="shared" si="32"/>
        <v>0</v>
      </c>
      <c r="AE66" s="4">
        <f t="shared" si="34"/>
        <v>0</v>
      </c>
      <c r="AF66" s="59">
        <f t="shared" si="33"/>
        <v>0</v>
      </c>
    </row>
    <row r="67" spans="9:32" x14ac:dyDescent="0.15">
      <c r="I67" s="4">
        <f t="shared" ref="I67:I98" si="37">B37^2</f>
        <v>0</v>
      </c>
      <c r="J67" s="4">
        <f t="shared" ref="J67:J98" si="38">C37^2</f>
        <v>0</v>
      </c>
      <c r="K67" s="4">
        <f t="shared" ref="K67:K98" si="39">D37^2</f>
        <v>0</v>
      </c>
      <c r="L67" s="4">
        <f t="shared" ref="L67:L98" si="40">E37^2</f>
        <v>0</v>
      </c>
      <c r="M67" s="4">
        <f t="shared" ref="M67:M98" si="41">F37^2</f>
        <v>0</v>
      </c>
      <c r="N67" s="4">
        <f t="shared" ref="N67:N98" si="42">G37^2</f>
        <v>0</v>
      </c>
      <c r="Y67" s="4">
        <f t="shared" si="27"/>
        <v>0</v>
      </c>
      <c r="Z67" s="4">
        <f t="shared" si="28"/>
        <v>0</v>
      </c>
      <c r="AA67" s="4">
        <f t="shared" si="29"/>
        <v>0</v>
      </c>
      <c r="AB67" s="4">
        <f t="shared" si="30"/>
        <v>0</v>
      </c>
      <c r="AC67" s="4">
        <f t="shared" si="31"/>
        <v>0</v>
      </c>
      <c r="AD67" s="4">
        <f t="shared" si="32"/>
        <v>0</v>
      </c>
      <c r="AE67" s="4">
        <f t="shared" si="34"/>
        <v>0</v>
      </c>
      <c r="AF67" s="59">
        <f t="shared" si="33"/>
        <v>0</v>
      </c>
    </row>
    <row r="68" spans="9:32" x14ac:dyDescent="0.15">
      <c r="I68" s="4">
        <f t="shared" si="37"/>
        <v>0</v>
      </c>
      <c r="J68" s="4">
        <f t="shared" si="38"/>
        <v>0</v>
      </c>
      <c r="K68" s="4">
        <f t="shared" si="39"/>
        <v>0</v>
      </c>
      <c r="L68" s="4">
        <f t="shared" si="40"/>
        <v>0</v>
      </c>
      <c r="M68" s="4">
        <f t="shared" si="41"/>
        <v>0</v>
      </c>
      <c r="N68" s="4">
        <f t="shared" si="42"/>
        <v>0</v>
      </c>
      <c r="Y68" s="4">
        <f t="shared" si="27"/>
        <v>0</v>
      </c>
      <c r="Z68" s="4">
        <f t="shared" si="28"/>
        <v>0</v>
      </c>
      <c r="AA68" s="4">
        <f t="shared" si="29"/>
        <v>0</v>
      </c>
      <c r="AB68" s="4">
        <f t="shared" si="30"/>
        <v>0</v>
      </c>
      <c r="AC68" s="4">
        <f t="shared" si="31"/>
        <v>0</v>
      </c>
      <c r="AD68" s="4">
        <f t="shared" si="32"/>
        <v>0</v>
      </c>
      <c r="AE68" s="4">
        <f t="shared" si="34"/>
        <v>0</v>
      </c>
      <c r="AF68" s="59">
        <f t="shared" si="33"/>
        <v>0</v>
      </c>
    </row>
    <row r="69" spans="9:32" x14ac:dyDescent="0.15">
      <c r="I69" s="4">
        <f t="shared" si="37"/>
        <v>0</v>
      </c>
      <c r="J69" s="4">
        <f t="shared" si="38"/>
        <v>0</v>
      </c>
      <c r="K69" s="4">
        <f t="shared" si="39"/>
        <v>0</v>
      </c>
      <c r="L69" s="4">
        <f t="shared" si="40"/>
        <v>0</v>
      </c>
      <c r="M69" s="4">
        <f t="shared" si="41"/>
        <v>0</v>
      </c>
      <c r="N69" s="4">
        <f t="shared" si="42"/>
        <v>0</v>
      </c>
      <c r="Y69" s="4">
        <f t="shared" ref="Y69:Y100" si="43">R37^2</f>
        <v>0</v>
      </c>
      <c r="Z69" s="4">
        <f t="shared" ref="Z69:Z100" si="44">S37^2</f>
        <v>0</v>
      </c>
      <c r="AA69" s="4">
        <f t="shared" ref="AA69:AA100" si="45">T37^2</f>
        <v>0</v>
      </c>
      <c r="AB69" s="4">
        <f t="shared" ref="AB69:AB100" si="46">U37^2</f>
        <v>0</v>
      </c>
      <c r="AC69" s="4">
        <f t="shared" ref="AC69:AC100" si="47">V37^2</f>
        <v>0</v>
      </c>
      <c r="AD69" s="4">
        <f t="shared" ref="AD69:AD100" si="48">W37^2</f>
        <v>0</v>
      </c>
      <c r="AE69" s="4">
        <f t="shared" si="34"/>
        <v>0</v>
      </c>
      <c r="AF69" s="59">
        <f t="shared" ref="AF69:AF100" si="49">AE69^2/$Z$25</f>
        <v>0</v>
      </c>
    </row>
    <row r="70" spans="9:32" x14ac:dyDescent="0.15">
      <c r="I70" s="4">
        <f t="shared" si="37"/>
        <v>0</v>
      </c>
      <c r="J70" s="4">
        <f t="shared" si="38"/>
        <v>0</v>
      </c>
      <c r="K70" s="4">
        <f t="shared" si="39"/>
        <v>0</v>
      </c>
      <c r="L70" s="4">
        <f t="shared" si="40"/>
        <v>0</v>
      </c>
      <c r="M70" s="4">
        <f t="shared" si="41"/>
        <v>0</v>
      </c>
      <c r="N70" s="4">
        <f t="shared" si="42"/>
        <v>0</v>
      </c>
      <c r="Y70" s="4">
        <f t="shared" si="43"/>
        <v>0</v>
      </c>
      <c r="Z70" s="4">
        <f t="shared" si="44"/>
        <v>0</v>
      </c>
      <c r="AA70" s="4">
        <f t="shared" si="45"/>
        <v>0</v>
      </c>
      <c r="AB70" s="4">
        <f t="shared" si="46"/>
        <v>0</v>
      </c>
      <c r="AC70" s="4">
        <f t="shared" si="47"/>
        <v>0</v>
      </c>
      <c r="AD70" s="4">
        <f t="shared" si="48"/>
        <v>0</v>
      </c>
      <c r="AE70" s="4">
        <f t="shared" si="34"/>
        <v>0</v>
      </c>
      <c r="AF70" s="59">
        <f t="shared" si="49"/>
        <v>0</v>
      </c>
    </row>
    <row r="71" spans="9:32" x14ac:dyDescent="0.15">
      <c r="I71" s="4">
        <f t="shared" si="37"/>
        <v>0</v>
      </c>
      <c r="J71" s="4">
        <f t="shared" si="38"/>
        <v>0</v>
      </c>
      <c r="K71" s="4">
        <f t="shared" si="39"/>
        <v>0</v>
      </c>
      <c r="L71" s="4">
        <f t="shared" si="40"/>
        <v>0</v>
      </c>
      <c r="M71" s="4">
        <f t="shared" si="41"/>
        <v>0</v>
      </c>
      <c r="N71" s="4">
        <f t="shared" si="42"/>
        <v>0</v>
      </c>
      <c r="Y71" s="4">
        <f t="shared" si="43"/>
        <v>0</v>
      </c>
      <c r="Z71" s="4">
        <f t="shared" si="44"/>
        <v>0</v>
      </c>
      <c r="AA71" s="4">
        <f t="shared" si="45"/>
        <v>0</v>
      </c>
      <c r="AB71" s="4">
        <f t="shared" si="46"/>
        <v>0</v>
      </c>
      <c r="AC71" s="4">
        <f t="shared" si="47"/>
        <v>0</v>
      </c>
      <c r="AD71" s="4">
        <f t="shared" si="48"/>
        <v>0</v>
      </c>
      <c r="AE71" s="4">
        <f t="shared" si="34"/>
        <v>0</v>
      </c>
      <c r="AF71" s="59">
        <f t="shared" si="49"/>
        <v>0</v>
      </c>
    </row>
    <row r="72" spans="9:32" x14ac:dyDescent="0.15">
      <c r="I72" s="4">
        <f t="shared" si="37"/>
        <v>0</v>
      </c>
      <c r="J72" s="4">
        <f t="shared" si="38"/>
        <v>0</v>
      </c>
      <c r="K72" s="4">
        <f t="shared" si="39"/>
        <v>0</v>
      </c>
      <c r="L72" s="4">
        <f t="shared" si="40"/>
        <v>0</v>
      </c>
      <c r="M72" s="4">
        <f t="shared" si="41"/>
        <v>0</v>
      </c>
      <c r="N72" s="4">
        <f t="shared" si="42"/>
        <v>0</v>
      </c>
      <c r="Y72" s="4">
        <f t="shared" si="43"/>
        <v>0</v>
      </c>
      <c r="Z72" s="4">
        <f t="shared" si="44"/>
        <v>0</v>
      </c>
      <c r="AA72" s="4">
        <f t="shared" si="45"/>
        <v>0</v>
      </c>
      <c r="AB72" s="4">
        <f t="shared" si="46"/>
        <v>0</v>
      </c>
      <c r="AC72" s="4">
        <f t="shared" si="47"/>
        <v>0</v>
      </c>
      <c r="AD72" s="4">
        <f t="shared" si="48"/>
        <v>0</v>
      </c>
      <c r="AE72" s="4">
        <f t="shared" si="34"/>
        <v>0</v>
      </c>
      <c r="AF72" s="59">
        <f t="shared" si="49"/>
        <v>0</v>
      </c>
    </row>
    <row r="73" spans="9:32" x14ac:dyDescent="0.15">
      <c r="I73" s="4">
        <f t="shared" si="37"/>
        <v>0</v>
      </c>
      <c r="J73" s="4">
        <f t="shared" si="38"/>
        <v>0</v>
      </c>
      <c r="K73" s="4">
        <f t="shared" si="39"/>
        <v>0</v>
      </c>
      <c r="L73" s="4">
        <f t="shared" si="40"/>
        <v>0</v>
      </c>
      <c r="M73" s="4">
        <f t="shared" si="41"/>
        <v>0</v>
      </c>
      <c r="N73" s="4">
        <f t="shared" si="42"/>
        <v>0</v>
      </c>
      <c r="Y73" s="4">
        <f t="shared" si="43"/>
        <v>0</v>
      </c>
      <c r="Z73" s="4">
        <f t="shared" si="44"/>
        <v>0</v>
      </c>
      <c r="AA73" s="4">
        <f t="shared" si="45"/>
        <v>0</v>
      </c>
      <c r="AB73" s="4">
        <f t="shared" si="46"/>
        <v>0</v>
      </c>
      <c r="AC73" s="4">
        <f t="shared" si="47"/>
        <v>0</v>
      </c>
      <c r="AD73" s="4">
        <f t="shared" si="48"/>
        <v>0</v>
      </c>
      <c r="AE73" s="4">
        <f t="shared" si="34"/>
        <v>0</v>
      </c>
      <c r="AF73" s="59">
        <f t="shared" si="49"/>
        <v>0</v>
      </c>
    </row>
    <row r="74" spans="9:32" x14ac:dyDescent="0.15">
      <c r="I74" s="4">
        <f t="shared" si="37"/>
        <v>0</v>
      </c>
      <c r="J74" s="4">
        <f t="shared" si="38"/>
        <v>0</v>
      </c>
      <c r="K74" s="4">
        <f t="shared" si="39"/>
        <v>0</v>
      </c>
      <c r="L74" s="4">
        <f t="shared" si="40"/>
        <v>0</v>
      </c>
      <c r="M74" s="4">
        <f t="shared" si="41"/>
        <v>0</v>
      </c>
      <c r="N74" s="4">
        <f t="shared" si="42"/>
        <v>0</v>
      </c>
      <c r="Y74" s="4">
        <f t="shared" si="43"/>
        <v>0</v>
      </c>
      <c r="Z74" s="4">
        <f t="shared" si="44"/>
        <v>0</v>
      </c>
      <c r="AA74" s="4">
        <f t="shared" si="45"/>
        <v>0</v>
      </c>
      <c r="AB74" s="4">
        <f t="shared" si="46"/>
        <v>0</v>
      </c>
      <c r="AC74" s="4">
        <f t="shared" si="47"/>
        <v>0</v>
      </c>
      <c r="AD74" s="4">
        <f t="shared" si="48"/>
        <v>0</v>
      </c>
      <c r="AE74" s="4">
        <f t="shared" si="34"/>
        <v>0</v>
      </c>
      <c r="AF74" s="59">
        <f t="shared" si="49"/>
        <v>0</v>
      </c>
    </row>
    <row r="75" spans="9:32" x14ac:dyDescent="0.15">
      <c r="I75" s="4">
        <f t="shared" si="37"/>
        <v>0</v>
      </c>
      <c r="J75" s="4">
        <f t="shared" si="38"/>
        <v>0</v>
      </c>
      <c r="K75" s="4">
        <f t="shared" si="39"/>
        <v>0</v>
      </c>
      <c r="L75" s="4">
        <f t="shared" si="40"/>
        <v>0</v>
      </c>
      <c r="M75" s="4">
        <f t="shared" si="41"/>
        <v>0</v>
      </c>
      <c r="N75" s="4">
        <f t="shared" si="42"/>
        <v>0</v>
      </c>
      <c r="Y75" s="4">
        <f t="shared" si="43"/>
        <v>0</v>
      </c>
      <c r="Z75" s="4">
        <f t="shared" si="44"/>
        <v>0</v>
      </c>
      <c r="AA75" s="4">
        <f t="shared" si="45"/>
        <v>0</v>
      </c>
      <c r="AB75" s="4">
        <f t="shared" si="46"/>
        <v>0</v>
      </c>
      <c r="AC75" s="4">
        <f t="shared" si="47"/>
        <v>0</v>
      </c>
      <c r="AD75" s="4">
        <f t="shared" si="48"/>
        <v>0</v>
      </c>
      <c r="AE75" s="4">
        <f t="shared" si="34"/>
        <v>0</v>
      </c>
      <c r="AF75" s="59">
        <f t="shared" si="49"/>
        <v>0</v>
      </c>
    </row>
    <row r="76" spans="9:32" x14ac:dyDescent="0.15">
      <c r="I76" s="4">
        <f t="shared" si="37"/>
        <v>0</v>
      </c>
      <c r="J76" s="4">
        <f t="shared" si="38"/>
        <v>0</v>
      </c>
      <c r="K76" s="4">
        <f t="shared" si="39"/>
        <v>0</v>
      </c>
      <c r="L76" s="4">
        <f t="shared" si="40"/>
        <v>0</v>
      </c>
      <c r="M76" s="4">
        <f t="shared" si="41"/>
        <v>0</v>
      </c>
      <c r="N76" s="4">
        <f t="shared" si="42"/>
        <v>0</v>
      </c>
      <c r="Y76" s="4">
        <f t="shared" si="43"/>
        <v>0</v>
      </c>
      <c r="Z76" s="4">
        <f t="shared" si="44"/>
        <v>0</v>
      </c>
      <c r="AA76" s="4">
        <f t="shared" si="45"/>
        <v>0</v>
      </c>
      <c r="AB76" s="4">
        <f t="shared" si="46"/>
        <v>0</v>
      </c>
      <c r="AC76" s="4">
        <f t="shared" si="47"/>
        <v>0</v>
      </c>
      <c r="AD76" s="4">
        <f t="shared" si="48"/>
        <v>0</v>
      </c>
      <c r="AE76" s="4">
        <f t="shared" si="34"/>
        <v>0</v>
      </c>
      <c r="AF76" s="59">
        <f t="shared" si="49"/>
        <v>0</v>
      </c>
    </row>
    <row r="77" spans="9:32" x14ac:dyDescent="0.15">
      <c r="I77" s="4">
        <f t="shared" si="37"/>
        <v>0</v>
      </c>
      <c r="J77" s="4">
        <f t="shared" si="38"/>
        <v>0</v>
      </c>
      <c r="K77" s="4">
        <f t="shared" si="39"/>
        <v>0</v>
      </c>
      <c r="L77" s="4">
        <f t="shared" si="40"/>
        <v>0</v>
      </c>
      <c r="M77" s="4">
        <f t="shared" si="41"/>
        <v>0</v>
      </c>
      <c r="N77" s="4">
        <f t="shared" si="42"/>
        <v>0</v>
      </c>
      <c r="Y77" s="4">
        <f t="shared" si="43"/>
        <v>0</v>
      </c>
      <c r="Z77" s="4">
        <f t="shared" si="44"/>
        <v>0</v>
      </c>
      <c r="AA77" s="4">
        <f t="shared" si="45"/>
        <v>0</v>
      </c>
      <c r="AB77" s="4">
        <f t="shared" si="46"/>
        <v>0</v>
      </c>
      <c r="AC77" s="4">
        <f t="shared" si="47"/>
        <v>0</v>
      </c>
      <c r="AD77" s="4">
        <f t="shared" si="48"/>
        <v>0</v>
      </c>
      <c r="AE77" s="4">
        <f t="shared" si="34"/>
        <v>0</v>
      </c>
      <c r="AF77" s="59">
        <f t="shared" si="49"/>
        <v>0</v>
      </c>
    </row>
    <row r="78" spans="9:32" x14ac:dyDescent="0.15">
      <c r="I78" s="4">
        <f t="shared" si="37"/>
        <v>0</v>
      </c>
      <c r="J78" s="4">
        <f t="shared" si="38"/>
        <v>0</v>
      </c>
      <c r="K78" s="4">
        <f t="shared" si="39"/>
        <v>0</v>
      </c>
      <c r="L78" s="4">
        <f t="shared" si="40"/>
        <v>0</v>
      </c>
      <c r="M78" s="4">
        <f t="shared" si="41"/>
        <v>0</v>
      </c>
      <c r="N78" s="4">
        <f t="shared" si="42"/>
        <v>0</v>
      </c>
      <c r="Y78" s="4">
        <f t="shared" si="43"/>
        <v>0</v>
      </c>
      <c r="Z78" s="4">
        <f t="shared" si="44"/>
        <v>0</v>
      </c>
      <c r="AA78" s="4">
        <f t="shared" si="45"/>
        <v>0</v>
      </c>
      <c r="AB78" s="4">
        <f t="shared" si="46"/>
        <v>0</v>
      </c>
      <c r="AC78" s="4">
        <f t="shared" si="47"/>
        <v>0</v>
      </c>
      <c r="AD78" s="4">
        <f t="shared" si="48"/>
        <v>0</v>
      </c>
      <c r="AE78" s="4">
        <f t="shared" si="34"/>
        <v>0</v>
      </c>
      <c r="AF78" s="59">
        <f t="shared" si="49"/>
        <v>0</v>
      </c>
    </row>
    <row r="79" spans="9:32" x14ac:dyDescent="0.15">
      <c r="I79" s="4">
        <f t="shared" si="37"/>
        <v>0</v>
      </c>
      <c r="J79" s="4">
        <f t="shared" si="38"/>
        <v>0</v>
      </c>
      <c r="K79" s="4">
        <f t="shared" si="39"/>
        <v>0</v>
      </c>
      <c r="L79" s="4">
        <f t="shared" si="40"/>
        <v>0</v>
      </c>
      <c r="M79" s="4">
        <f t="shared" si="41"/>
        <v>0</v>
      </c>
      <c r="N79" s="4">
        <f t="shared" si="42"/>
        <v>0</v>
      </c>
      <c r="Y79" s="4">
        <f t="shared" si="43"/>
        <v>0</v>
      </c>
      <c r="Z79" s="4">
        <f t="shared" si="44"/>
        <v>0</v>
      </c>
      <c r="AA79" s="4">
        <f t="shared" si="45"/>
        <v>0</v>
      </c>
      <c r="AB79" s="4">
        <f t="shared" si="46"/>
        <v>0</v>
      </c>
      <c r="AC79" s="4">
        <f t="shared" si="47"/>
        <v>0</v>
      </c>
      <c r="AD79" s="4">
        <f t="shared" si="48"/>
        <v>0</v>
      </c>
      <c r="AE79" s="4">
        <f t="shared" si="34"/>
        <v>0</v>
      </c>
      <c r="AF79" s="59">
        <f t="shared" si="49"/>
        <v>0</v>
      </c>
    </row>
    <row r="80" spans="9:32" x14ac:dyDescent="0.15">
      <c r="I80" s="4">
        <f t="shared" si="37"/>
        <v>0</v>
      </c>
      <c r="J80" s="4">
        <f t="shared" si="38"/>
        <v>0</v>
      </c>
      <c r="K80" s="4">
        <f t="shared" si="39"/>
        <v>0</v>
      </c>
      <c r="L80" s="4">
        <f t="shared" si="40"/>
        <v>0</v>
      </c>
      <c r="M80" s="4">
        <f t="shared" si="41"/>
        <v>0</v>
      </c>
      <c r="N80" s="4">
        <f t="shared" si="42"/>
        <v>0</v>
      </c>
      <c r="Y80" s="4">
        <f t="shared" si="43"/>
        <v>0</v>
      </c>
      <c r="Z80" s="4">
        <f t="shared" si="44"/>
        <v>0</v>
      </c>
      <c r="AA80" s="4">
        <f t="shared" si="45"/>
        <v>0</v>
      </c>
      <c r="AB80" s="4">
        <f t="shared" si="46"/>
        <v>0</v>
      </c>
      <c r="AC80" s="4">
        <f t="shared" si="47"/>
        <v>0</v>
      </c>
      <c r="AD80" s="4">
        <f t="shared" si="48"/>
        <v>0</v>
      </c>
      <c r="AE80" s="4">
        <f t="shared" si="34"/>
        <v>0</v>
      </c>
      <c r="AF80" s="59">
        <f t="shared" si="49"/>
        <v>0</v>
      </c>
    </row>
    <row r="81" spans="9:32" x14ac:dyDescent="0.15">
      <c r="I81" s="4">
        <f t="shared" si="37"/>
        <v>0</v>
      </c>
      <c r="J81" s="4">
        <f t="shared" si="38"/>
        <v>0</v>
      </c>
      <c r="K81" s="4">
        <f t="shared" si="39"/>
        <v>0</v>
      </c>
      <c r="L81" s="4">
        <f t="shared" si="40"/>
        <v>0</v>
      </c>
      <c r="M81" s="4">
        <f t="shared" si="41"/>
        <v>0</v>
      </c>
      <c r="N81" s="4">
        <f t="shared" si="42"/>
        <v>0</v>
      </c>
      <c r="Y81" s="4">
        <f t="shared" si="43"/>
        <v>0</v>
      </c>
      <c r="Z81" s="4">
        <f t="shared" si="44"/>
        <v>0</v>
      </c>
      <c r="AA81" s="4">
        <f t="shared" si="45"/>
        <v>0</v>
      </c>
      <c r="AB81" s="4">
        <f t="shared" si="46"/>
        <v>0</v>
      </c>
      <c r="AC81" s="4">
        <f t="shared" si="47"/>
        <v>0</v>
      </c>
      <c r="AD81" s="4">
        <f t="shared" si="48"/>
        <v>0</v>
      </c>
      <c r="AE81" s="4">
        <f t="shared" si="34"/>
        <v>0</v>
      </c>
      <c r="AF81" s="59">
        <f t="shared" si="49"/>
        <v>0</v>
      </c>
    </row>
    <row r="82" spans="9:32" x14ac:dyDescent="0.15">
      <c r="I82" s="4">
        <f t="shared" si="37"/>
        <v>0</v>
      </c>
      <c r="J82" s="4">
        <f t="shared" si="38"/>
        <v>0</v>
      </c>
      <c r="K82" s="4">
        <f t="shared" si="39"/>
        <v>0</v>
      </c>
      <c r="L82" s="4">
        <f t="shared" si="40"/>
        <v>0</v>
      </c>
      <c r="M82" s="4">
        <f t="shared" si="41"/>
        <v>0</v>
      </c>
      <c r="N82" s="4">
        <f t="shared" si="42"/>
        <v>0</v>
      </c>
      <c r="Y82" s="4">
        <f t="shared" si="43"/>
        <v>0</v>
      </c>
      <c r="Z82" s="4">
        <f t="shared" si="44"/>
        <v>0</v>
      </c>
      <c r="AA82" s="4">
        <f t="shared" si="45"/>
        <v>0</v>
      </c>
      <c r="AB82" s="4">
        <f t="shared" si="46"/>
        <v>0</v>
      </c>
      <c r="AC82" s="4">
        <f t="shared" si="47"/>
        <v>0</v>
      </c>
      <c r="AD82" s="4">
        <f t="shared" si="48"/>
        <v>0</v>
      </c>
      <c r="AE82" s="4">
        <f t="shared" si="34"/>
        <v>0</v>
      </c>
      <c r="AF82" s="59">
        <f t="shared" si="49"/>
        <v>0</v>
      </c>
    </row>
    <row r="83" spans="9:32" x14ac:dyDescent="0.15">
      <c r="I83" s="4">
        <f t="shared" si="37"/>
        <v>0</v>
      </c>
      <c r="J83" s="4">
        <f t="shared" si="38"/>
        <v>0</v>
      </c>
      <c r="K83" s="4">
        <f t="shared" si="39"/>
        <v>0</v>
      </c>
      <c r="L83" s="4">
        <f t="shared" si="40"/>
        <v>0</v>
      </c>
      <c r="M83" s="4">
        <f t="shared" si="41"/>
        <v>0</v>
      </c>
      <c r="N83" s="4">
        <f t="shared" si="42"/>
        <v>0</v>
      </c>
      <c r="Y83" s="4">
        <f t="shared" si="43"/>
        <v>0</v>
      </c>
      <c r="Z83" s="4">
        <f t="shared" si="44"/>
        <v>0</v>
      </c>
      <c r="AA83" s="4">
        <f t="shared" si="45"/>
        <v>0</v>
      </c>
      <c r="AB83" s="4">
        <f t="shared" si="46"/>
        <v>0</v>
      </c>
      <c r="AC83" s="4">
        <f t="shared" si="47"/>
        <v>0</v>
      </c>
      <c r="AD83" s="4">
        <f t="shared" si="48"/>
        <v>0</v>
      </c>
      <c r="AE83" s="4">
        <f t="shared" si="34"/>
        <v>0</v>
      </c>
      <c r="AF83" s="59">
        <f t="shared" si="49"/>
        <v>0</v>
      </c>
    </row>
    <row r="84" spans="9:32" x14ac:dyDescent="0.15">
      <c r="I84" s="4">
        <f t="shared" si="37"/>
        <v>0</v>
      </c>
      <c r="J84" s="4">
        <f t="shared" si="38"/>
        <v>0</v>
      </c>
      <c r="K84" s="4">
        <f t="shared" si="39"/>
        <v>0</v>
      </c>
      <c r="L84" s="4">
        <f t="shared" si="40"/>
        <v>0</v>
      </c>
      <c r="M84" s="4">
        <f t="shared" si="41"/>
        <v>0</v>
      </c>
      <c r="N84" s="4">
        <f t="shared" si="42"/>
        <v>0</v>
      </c>
      <c r="Y84" s="4">
        <f t="shared" si="43"/>
        <v>0</v>
      </c>
      <c r="Z84" s="4">
        <f t="shared" si="44"/>
        <v>0</v>
      </c>
      <c r="AA84" s="4">
        <f t="shared" si="45"/>
        <v>0</v>
      </c>
      <c r="AB84" s="4">
        <f t="shared" si="46"/>
        <v>0</v>
      </c>
      <c r="AC84" s="4">
        <f t="shared" si="47"/>
        <v>0</v>
      </c>
      <c r="AD84" s="4">
        <f t="shared" si="48"/>
        <v>0</v>
      </c>
      <c r="AE84" s="4">
        <f t="shared" si="34"/>
        <v>0</v>
      </c>
      <c r="AF84" s="59">
        <f t="shared" si="49"/>
        <v>0</v>
      </c>
    </row>
    <row r="85" spans="9:32" x14ac:dyDescent="0.15">
      <c r="I85" s="4">
        <f t="shared" si="37"/>
        <v>0</v>
      </c>
      <c r="J85" s="4">
        <f t="shared" si="38"/>
        <v>0</v>
      </c>
      <c r="K85" s="4">
        <f t="shared" si="39"/>
        <v>0</v>
      </c>
      <c r="L85" s="4">
        <f t="shared" si="40"/>
        <v>0</v>
      </c>
      <c r="M85" s="4">
        <f t="shared" si="41"/>
        <v>0</v>
      </c>
      <c r="N85" s="4">
        <f t="shared" si="42"/>
        <v>0</v>
      </c>
      <c r="Y85" s="4">
        <f t="shared" si="43"/>
        <v>0</v>
      </c>
      <c r="Z85" s="4">
        <f t="shared" si="44"/>
        <v>0</v>
      </c>
      <c r="AA85" s="4">
        <f t="shared" si="45"/>
        <v>0</v>
      </c>
      <c r="AB85" s="4">
        <f t="shared" si="46"/>
        <v>0</v>
      </c>
      <c r="AC85" s="4">
        <f t="shared" si="47"/>
        <v>0</v>
      </c>
      <c r="AD85" s="4">
        <f t="shared" si="48"/>
        <v>0</v>
      </c>
      <c r="AE85" s="4">
        <f t="shared" si="34"/>
        <v>0</v>
      </c>
      <c r="AF85" s="59">
        <f t="shared" si="49"/>
        <v>0</v>
      </c>
    </row>
    <row r="86" spans="9:32" x14ac:dyDescent="0.15">
      <c r="I86" s="4">
        <f t="shared" si="37"/>
        <v>0</v>
      </c>
      <c r="J86" s="4">
        <f t="shared" si="38"/>
        <v>0</v>
      </c>
      <c r="K86" s="4">
        <f t="shared" si="39"/>
        <v>0</v>
      </c>
      <c r="L86" s="4">
        <f t="shared" si="40"/>
        <v>0</v>
      </c>
      <c r="M86" s="4">
        <f t="shared" si="41"/>
        <v>0</v>
      </c>
      <c r="N86" s="4">
        <f t="shared" si="42"/>
        <v>0</v>
      </c>
      <c r="Y86" s="4">
        <f t="shared" si="43"/>
        <v>0</v>
      </c>
      <c r="Z86" s="4">
        <f t="shared" si="44"/>
        <v>0</v>
      </c>
      <c r="AA86" s="4">
        <f t="shared" si="45"/>
        <v>0</v>
      </c>
      <c r="AB86" s="4">
        <f t="shared" si="46"/>
        <v>0</v>
      </c>
      <c r="AC86" s="4">
        <f t="shared" si="47"/>
        <v>0</v>
      </c>
      <c r="AD86" s="4">
        <f t="shared" si="48"/>
        <v>0</v>
      </c>
      <c r="AE86" s="4">
        <f t="shared" si="34"/>
        <v>0</v>
      </c>
      <c r="AF86" s="59">
        <f t="shared" si="49"/>
        <v>0</v>
      </c>
    </row>
    <row r="87" spans="9:32" x14ac:dyDescent="0.15">
      <c r="I87" s="4">
        <f t="shared" si="37"/>
        <v>0</v>
      </c>
      <c r="J87" s="4">
        <f t="shared" si="38"/>
        <v>0</v>
      </c>
      <c r="K87" s="4">
        <f t="shared" si="39"/>
        <v>0</v>
      </c>
      <c r="L87" s="4">
        <f t="shared" si="40"/>
        <v>0</v>
      </c>
      <c r="M87" s="4">
        <f t="shared" si="41"/>
        <v>0</v>
      </c>
      <c r="N87" s="4">
        <f t="shared" si="42"/>
        <v>0</v>
      </c>
      <c r="Y87" s="4">
        <f t="shared" si="43"/>
        <v>0</v>
      </c>
      <c r="Z87" s="4">
        <f t="shared" si="44"/>
        <v>0</v>
      </c>
      <c r="AA87" s="4">
        <f t="shared" si="45"/>
        <v>0</v>
      </c>
      <c r="AB87" s="4">
        <f t="shared" si="46"/>
        <v>0</v>
      </c>
      <c r="AC87" s="4">
        <f t="shared" si="47"/>
        <v>0</v>
      </c>
      <c r="AD87" s="4">
        <f t="shared" si="48"/>
        <v>0</v>
      </c>
      <c r="AE87" s="4">
        <f t="shared" si="34"/>
        <v>0</v>
      </c>
      <c r="AF87" s="59">
        <f t="shared" si="49"/>
        <v>0</v>
      </c>
    </row>
    <row r="88" spans="9:32" x14ac:dyDescent="0.15">
      <c r="I88" s="4">
        <f t="shared" si="37"/>
        <v>0</v>
      </c>
      <c r="J88" s="4">
        <f t="shared" si="38"/>
        <v>0</v>
      </c>
      <c r="K88" s="4">
        <f t="shared" si="39"/>
        <v>0</v>
      </c>
      <c r="L88" s="4">
        <f t="shared" si="40"/>
        <v>0</v>
      </c>
      <c r="M88" s="4">
        <f t="shared" si="41"/>
        <v>0</v>
      </c>
      <c r="N88" s="4">
        <f t="shared" si="42"/>
        <v>0</v>
      </c>
      <c r="Y88" s="4">
        <f t="shared" si="43"/>
        <v>0</v>
      </c>
      <c r="Z88" s="4">
        <f t="shared" si="44"/>
        <v>0</v>
      </c>
      <c r="AA88" s="4">
        <f t="shared" si="45"/>
        <v>0</v>
      </c>
      <c r="AB88" s="4">
        <f t="shared" si="46"/>
        <v>0</v>
      </c>
      <c r="AC88" s="4">
        <f t="shared" si="47"/>
        <v>0</v>
      </c>
      <c r="AD88" s="4">
        <f t="shared" si="48"/>
        <v>0</v>
      </c>
      <c r="AE88" s="4">
        <f t="shared" si="34"/>
        <v>0</v>
      </c>
      <c r="AF88" s="59">
        <f t="shared" si="49"/>
        <v>0</v>
      </c>
    </row>
    <row r="89" spans="9:32" x14ac:dyDescent="0.15">
      <c r="I89" s="4">
        <f t="shared" si="37"/>
        <v>0</v>
      </c>
      <c r="J89" s="4">
        <f t="shared" si="38"/>
        <v>0</v>
      </c>
      <c r="K89" s="4">
        <f t="shared" si="39"/>
        <v>0</v>
      </c>
      <c r="L89" s="4">
        <f t="shared" si="40"/>
        <v>0</v>
      </c>
      <c r="M89" s="4">
        <f t="shared" si="41"/>
        <v>0</v>
      </c>
      <c r="N89" s="4">
        <f t="shared" si="42"/>
        <v>0</v>
      </c>
      <c r="Y89" s="4">
        <f t="shared" si="43"/>
        <v>0</v>
      </c>
      <c r="Z89" s="4">
        <f t="shared" si="44"/>
        <v>0</v>
      </c>
      <c r="AA89" s="4">
        <f t="shared" si="45"/>
        <v>0</v>
      </c>
      <c r="AB89" s="4">
        <f t="shared" si="46"/>
        <v>0</v>
      </c>
      <c r="AC89" s="4">
        <f t="shared" si="47"/>
        <v>0</v>
      </c>
      <c r="AD89" s="4">
        <f t="shared" si="48"/>
        <v>0</v>
      </c>
      <c r="AE89" s="4">
        <f t="shared" si="34"/>
        <v>0</v>
      </c>
      <c r="AF89" s="59">
        <f t="shared" si="49"/>
        <v>0</v>
      </c>
    </row>
    <row r="90" spans="9:32" x14ac:dyDescent="0.15">
      <c r="I90" s="4">
        <f t="shared" si="37"/>
        <v>0</v>
      </c>
      <c r="J90" s="4">
        <f t="shared" si="38"/>
        <v>0</v>
      </c>
      <c r="K90" s="4">
        <f t="shared" si="39"/>
        <v>0</v>
      </c>
      <c r="L90" s="4">
        <f t="shared" si="40"/>
        <v>0</v>
      </c>
      <c r="M90" s="4">
        <f t="shared" si="41"/>
        <v>0</v>
      </c>
      <c r="N90" s="4">
        <f t="shared" si="42"/>
        <v>0</v>
      </c>
      <c r="Y90" s="4">
        <f t="shared" si="43"/>
        <v>0</v>
      </c>
      <c r="Z90" s="4">
        <f t="shared" si="44"/>
        <v>0</v>
      </c>
      <c r="AA90" s="4">
        <f t="shared" si="45"/>
        <v>0</v>
      </c>
      <c r="AB90" s="4">
        <f t="shared" si="46"/>
        <v>0</v>
      </c>
      <c r="AC90" s="4">
        <f t="shared" si="47"/>
        <v>0</v>
      </c>
      <c r="AD90" s="4">
        <f t="shared" si="48"/>
        <v>0</v>
      </c>
      <c r="AE90" s="4">
        <f t="shared" si="34"/>
        <v>0</v>
      </c>
      <c r="AF90" s="59">
        <f t="shared" si="49"/>
        <v>0</v>
      </c>
    </row>
    <row r="91" spans="9:32" x14ac:dyDescent="0.15">
      <c r="I91" s="4">
        <f t="shared" si="37"/>
        <v>0</v>
      </c>
      <c r="J91" s="4">
        <f t="shared" si="38"/>
        <v>0</v>
      </c>
      <c r="K91" s="4">
        <f t="shared" si="39"/>
        <v>0</v>
      </c>
      <c r="L91" s="4">
        <f t="shared" si="40"/>
        <v>0</v>
      </c>
      <c r="M91" s="4">
        <f t="shared" si="41"/>
        <v>0</v>
      </c>
      <c r="N91" s="4">
        <f t="shared" si="42"/>
        <v>0</v>
      </c>
      <c r="Y91" s="4">
        <f t="shared" si="43"/>
        <v>0</v>
      </c>
      <c r="Z91" s="4">
        <f t="shared" si="44"/>
        <v>0</v>
      </c>
      <c r="AA91" s="4">
        <f t="shared" si="45"/>
        <v>0</v>
      </c>
      <c r="AB91" s="4">
        <f t="shared" si="46"/>
        <v>0</v>
      </c>
      <c r="AC91" s="4">
        <f t="shared" si="47"/>
        <v>0</v>
      </c>
      <c r="AD91" s="4">
        <f t="shared" si="48"/>
        <v>0</v>
      </c>
      <c r="AE91" s="4">
        <f t="shared" si="34"/>
        <v>0</v>
      </c>
      <c r="AF91" s="59">
        <f t="shared" si="49"/>
        <v>0</v>
      </c>
    </row>
    <row r="92" spans="9:32" x14ac:dyDescent="0.15">
      <c r="I92" s="4">
        <f t="shared" si="37"/>
        <v>0</v>
      </c>
      <c r="J92" s="4">
        <f t="shared" si="38"/>
        <v>0</v>
      </c>
      <c r="K92" s="4">
        <f t="shared" si="39"/>
        <v>0</v>
      </c>
      <c r="L92" s="4">
        <f t="shared" si="40"/>
        <v>0</v>
      </c>
      <c r="M92" s="4">
        <f t="shared" si="41"/>
        <v>0</v>
      </c>
      <c r="N92" s="4">
        <f t="shared" si="42"/>
        <v>0</v>
      </c>
      <c r="Y92" s="4">
        <f t="shared" si="43"/>
        <v>0</v>
      </c>
      <c r="Z92" s="4">
        <f t="shared" si="44"/>
        <v>0</v>
      </c>
      <c r="AA92" s="4">
        <f t="shared" si="45"/>
        <v>0</v>
      </c>
      <c r="AB92" s="4">
        <f t="shared" si="46"/>
        <v>0</v>
      </c>
      <c r="AC92" s="4">
        <f t="shared" si="47"/>
        <v>0</v>
      </c>
      <c r="AD92" s="4">
        <f t="shared" si="48"/>
        <v>0</v>
      </c>
      <c r="AE92" s="4">
        <f t="shared" si="34"/>
        <v>0</v>
      </c>
      <c r="AF92" s="59">
        <f t="shared" si="49"/>
        <v>0</v>
      </c>
    </row>
    <row r="93" spans="9:32" x14ac:dyDescent="0.15">
      <c r="I93" s="4">
        <f t="shared" si="37"/>
        <v>0</v>
      </c>
      <c r="J93" s="4">
        <f t="shared" si="38"/>
        <v>0</v>
      </c>
      <c r="K93" s="4">
        <f t="shared" si="39"/>
        <v>0</v>
      </c>
      <c r="L93" s="4">
        <f t="shared" si="40"/>
        <v>0</v>
      </c>
      <c r="M93" s="4">
        <f t="shared" si="41"/>
        <v>0</v>
      </c>
      <c r="N93" s="4">
        <f t="shared" si="42"/>
        <v>0</v>
      </c>
      <c r="Y93" s="4">
        <f t="shared" si="43"/>
        <v>0</v>
      </c>
      <c r="Z93" s="4">
        <f t="shared" si="44"/>
        <v>0</v>
      </c>
      <c r="AA93" s="4">
        <f t="shared" si="45"/>
        <v>0</v>
      </c>
      <c r="AB93" s="4">
        <f t="shared" si="46"/>
        <v>0</v>
      </c>
      <c r="AC93" s="4">
        <f t="shared" si="47"/>
        <v>0</v>
      </c>
      <c r="AD93" s="4">
        <f t="shared" si="48"/>
        <v>0</v>
      </c>
      <c r="AE93" s="4">
        <f t="shared" si="34"/>
        <v>0</v>
      </c>
      <c r="AF93" s="59">
        <f t="shared" si="49"/>
        <v>0</v>
      </c>
    </row>
    <row r="94" spans="9:32" x14ac:dyDescent="0.15">
      <c r="I94" s="4">
        <f t="shared" si="37"/>
        <v>0</v>
      </c>
      <c r="J94" s="4">
        <f t="shared" si="38"/>
        <v>0</v>
      </c>
      <c r="K94" s="4">
        <f t="shared" si="39"/>
        <v>0</v>
      </c>
      <c r="L94" s="4">
        <f t="shared" si="40"/>
        <v>0</v>
      </c>
      <c r="M94" s="4">
        <f t="shared" si="41"/>
        <v>0</v>
      </c>
      <c r="N94" s="4">
        <f t="shared" si="42"/>
        <v>0</v>
      </c>
      <c r="Y94" s="4">
        <f t="shared" si="43"/>
        <v>0</v>
      </c>
      <c r="Z94" s="4">
        <f t="shared" si="44"/>
        <v>0</v>
      </c>
      <c r="AA94" s="4">
        <f t="shared" si="45"/>
        <v>0</v>
      </c>
      <c r="AB94" s="4">
        <f t="shared" si="46"/>
        <v>0</v>
      </c>
      <c r="AC94" s="4">
        <f t="shared" si="47"/>
        <v>0</v>
      </c>
      <c r="AD94" s="4">
        <f t="shared" si="48"/>
        <v>0</v>
      </c>
      <c r="AE94" s="4">
        <f t="shared" si="34"/>
        <v>0</v>
      </c>
      <c r="AF94" s="59">
        <f t="shared" si="49"/>
        <v>0</v>
      </c>
    </row>
    <row r="95" spans="9:32" x14ac:dyDescent="0.15">
      <c r="I95" s="4">
        <f t="shared" si="37"/>
        <v>0</v>
      </c>
      <c r="J95" s="4">
        <f t="shared" si="38"/>
        <v>0</v>
      </c>
      <c r="K95" s="4">
        <f t="shared" si="39"/>
        <v>0</v>
      </c>
      <c r="L95" s="4">
        <f t="shared" si="40"/>
        <v>0</v>
      </c>
      <c r="M95" s="4">
        <f t="shared" si="41"/>
        <v>0</v>
      </c>
      <c r="N95" s="4">
        <f t="shared" si="42"/>
        <v>0</v>
      </c>
      <c r="Y95" s="4">
        <f t="shared" si="43"/>
        <v>0</v>
      </c>
      <c r="Z95" s="4">
        <f t="shared" si="44"/>
        <v>0</v>
      </c>
      <c r="AA95" s="4">
        <f t="shared" si="45"/>
        <v>0</v>
      </c>
      <c r="AB95" s="4">
        <f t="shared" si="46"/>
        <v>0</v>
      </c>
      <c r="AC95" s="4">
        <f t="shared" si="47"/>
        <v>0</v>
      </c>
      <c r="AD95" s="4">
        <f t="shared" si="48"/>
        <v>0</v>
      </c>
      <c r="AE95" s="4">
        <f t="shared" si="34"/>
        <v>0</v>
      </c>
      <c r="AF95" s="59">
        <f t="shared" si="49"/>
        <v>0</v>
      </c>
    </row>
    <row r="96" spans="9:32" x14ac:dyDescent="0.15">
      <c r="I96" s="4">
        <f t="shared" si="37"/>
        <v>0</v>
      </c>
      <c r="J96" s="4">
        <f t="shared" si="38"/>
        <v>0</v>
      </c>
      <c r="K96" s="4">
        <f t="shared" si="39"/>
        <v>0</v>
      </c>
      <c r="L96" s="4">
        <f t="shared" si="40"/>
        <v>0</v>
      </c>
      <c r="M96" s="4">
        <f t="shared" si="41"/>
        <v>0</v>
      </c>
      <c r="N96" s="4">
        <f t="shared" si="42"/>
        <v>0</v>
      </c>
      <c r="Y96" s="4">
        <f t="shared" si="43"/>
        <v>0</v>
      </c>
      <c r="Z96" s="4">
        <f t="shared" si="44"/>
        <v>0</v>
      </c>
      <c r="AA96" s="4">
        <f t="shared" si="45"/>
        <v>0</v>
      </c>
      <c r="AB96" s="4">
        <f t="shared" si="46"/>
        <v>0</v>
      </c>
      <c r="AC96" s="4">
        <f t="shared" si="47"/>
        <v>0</v>
      </c>
      <c r="AD96" s="4">
        <f t="shared" si="48"/>
        <v>0</v>
      </c>
      <c r="AE96" s="4">
        <f t="shared" si="34"/>
        <v>0</v>
      </c>
      <c r="AF96" s="59">
        <f t="shared" si="49"/>
        <v>0</v>
      </c>
    </row>
    <row r="97" spans="9:32" x14ac:dyDescent="0.15">
      <c r="I97" s="4">
        <f t="shared" si="37"/>
        <v>0</v>
      </c>
      <c r="J97" s="4">
        <f t="shared" si="38"/>
        <v>0</v>
      </c>
      <c r="K97" s="4">
        <f t="shared" si="39"/>
        <v>0</v>
      </c>
      <c r="L97" s="4">
        <f t="shared" si="40"/>
        <v>0</v>
      </c>
      <c r="M97" s="4">
        <f t="shared" si="41"/>
        <v>0</v>
      </c>
      <c r="N97" s="4">
        <f t="shared" si="42"/>
        <v>0</v>
      </c>
      <c r="Y97" s="4">
        <f t="shared" si="43"/>
        <v>0</v>
      </c>
      <c r="Z97" s="4">
        <f t="shared" si="44"/>
        <v>0</v>
      </c>
      <c r="AA97" s="4">
        <f t="shared" si="45"/>
        <v>0</v>
      </c>
      <c r="AB97" s="4">
        <f t="shared" si="46"/>
        <v>0</v>
      </c>
      <c r="AC97" s="4">
        <f t="shared" si="47"/>
        <v>0</v>
      </c>
      <c r="AD97" s="4">
        <f t="shared" si="48"/>
        <v>0</v>
      </c>
      <c r="AE97" s="4">
        <f t="shared" si="34"/>
        <v>0</v>
      </c>
      <c r="AF97" s="59">
        <f t="shared" si="49"/>
        <v>0</v>
      </c>
    </row>
    <row r="98" spans="9:32" x14ac:dyDescent="0.15">
      <c r="I98" s="4">
        <f t="shared" si="37"/>
        <v>0</v>
      </c>
      <c r="J98" s="4">
        <f t="shared" si="38"/>
        <v>0</v>
      </c>
      <c r="K98" s="4">
        <f t="shared" si="39"/>
        <v>0</v>
      </c>
      <c r="L98" s="4">
        <f t="shared" si="40"/>
        <v>0</v>
      </c>
      <c r="M98" s="4">
        <f t="shared" si="41"/>
        <v>0</v>
      </c>
      <c r="N98" s="4">
        <f t="shared" si="42"/>
        <v>0</v>
      </c>
      <c r="Y98" s="4">
        <f t="shared" si="43"/>
        <v>0</v>
      </c>
      <c r="Z98" s="4">
        <f t="shared" si="44"/>
        <v>0</v>
      </c>
      <c r="AA98" s="4">
        <f t="shared" si="45"/>
        <v>0</v>
      </c>
      <c r="AB98" s="4">
        <f t="shared" si="46"/>
        <v>0</v>
      </c>
      <c r="AC98" s="4">
        <f t="shared" si="47"/>
        <v>0</v>
      </c>
      <c r="AD98" s="4">
        <f t="shared" si="48"/>
        <v>0</v>
      </c>
      <c r="AE98" s="4">
        <f t="shared" si="34"/>
        <v>0</v>
      </c>
      <c r="AF98" s="59">
        <f t="shared" si="49"/>
        <v>0</v>
      </c>
    </row>
    <row r="99" spans="9:32" x14ac:dyDescent="0.15">
      <c r="I99" s="4">
        <f t="shared" ref="I99:I130" si="50">B69^2</f>
        <v>0</v>
      </c>
      <c r="J99" s="4">
        <f t="shared" ref="J99:J130" si="51">C69^2</f>
        <v>0</v>
      </c>
      <c r="K99" s="4">
        <f t="shared" ref="K99:K130" si="52">D69^2</f>
        <v>0</v>
      </c>
      <c r="L99" s="4">
        <f t="shared" ref="L99:L130" si="53">E69^2</f>
        <v>0</v>
      </c>
      <c r="M99" s="4">
        <f t="shared" ref="M99:M130" si="54">F69^2</f>
        <v>0</v>
      </c>
      <c r="N99" s="4">
        <f t="shared" ref="N99:N130" si="55">G69^2</f>
        <v>0</v>
      </c>
      <c r="Y99" s="4">
        <f t="shared" si="43"/>
        <v>0</v>
      </c>
      <c r="Z99" s="4">
        <f t="shared" si="44"/>
        <v>0</v>
      </c>
      <c r="AA99" s="4">
        <f t="shared" si="45"/>
        <v>0</v>
      </c>
      <c r="AB99" s="4">
        <f t="shared" si="46"/>
        <v>0</v>
      </c>
      <c r="AC99" s="4">
        <f t="shared" si="47"/>
        <v>0</v>
      </c>
      <c r="AD99" s="4">
        <f t="shared" si="48"/>
        <v>0</v>
      </c>
      <c r="AE99" s="4">
        <f t="shared" si="34"/>
        <v>0</v>
      </c>
      <c r="AF99" s="59">
        <f t="shared" si="49"/>
        <v>0</v>
      </c>
    </row>
    <row r="100" spans="9:32" x14ac:dyDescent="0.15">
      <c r="I100" s="4">
        <f t="shared" si="50"/>
        <v>0</v>
      </c>
      <c r="J100" s="4">
        <f t="shared" si="51"/>
        <v>0</v>
      </c>
      <c r="K100" s="4">
        <f t="shared" si="52"/>
        <v>0</v>
      </c>
      <c r="L100" s="4">
        <f t="shared" si="53"/>
        <v>0</v>
      </c>
      <c r="M100" s="4">
        <f t="shared" si="54"/>
        <v>0</v>
      </c>
      <c r="N100" s="4">
        <f t="shared" si="55"/>
        <v>0</v>
      </c>
      <c r="Y100" s="4">
        <f t="shared" si="43"/>
        <v>0</v>
      </c>
      <c r="Z100" s="4">
        <f t="shared" si="44"/>
        <v>0</v>
      </c>
      <c r="AA100" s="4">
        <f t="shared" si="45"/>
        <v>0</v>
      </c>
      <c r="AB100" s="4">
        <f t="shared" si="46"/>
        <v>0</v>
      </c>
      <c r="AC100" s="4">
        <f t="shared" si="47"/>
        <v>0</v>
      </c>
      <c r="AD100" s="4">
        <f t="shared" si="48"/>
        <v>0</v>
      </c>
      <c r="AE100" s="4">
        <f t="shared" si="34"/>
        <v>0</v>
      </c>
      <c r="AF100" s="59">
        <f t="shared" si="49"/>
        <v>0</v>
      </c>
    </row>
    <row r="101" spans="9:32" x14ac:dyDescent="0.15">
      <c r="I101" s="4">
        <f t="shared" si="50"/>
        <v>0</v>
      </c>
      <c r="J101" s="4">
        <f t="shared" si="51"/>
        <v>0</v>
      </c>
      <c r="K101" s="4">
        <f t="shared" si="52"/>
        <v>0</v>
      </c>
      <c r="L101" s="4">
        <f t="shared" si="53"/>
        <v>0</v>
      </c>
      <c r="M101" s="4">
        <f t="shared" si="54"/>
        <v>0</v>
      </c>
      <c r="N101" s="4">
        <f t="shared" si="55"/>
        <v>0</v>
      </c>
      <c r="Y101" s="4">
        <f t="shared" ref="Y101:Y132" si="56">R69^2</f>
        <v>0</v>
      </c>
      <c r="Z101" s="4">
        <f t="shared" ref="Z101:Z132" si="57">S69^2</f>
        <v>0</v>
      </c>
      <c r="AA101" s="4">
        <f t="shared" ref="AA101:AA132" si="58">T69^2</f>
        <v>0</v>
      </c>
      <c r="AB101" s="4">
        <f t="shared" ref="AB101:AB132" si="59">U69^2</f>
        <v>0</v>
      </c>
      <c r="AC101" s="4">
        <f t="shared" ref="AC101:AC132" si="60">V69^2</f>
        <v>0</v>
      </c>
      <c r="AD101" s="4">
        <f t="shared" ref="AD101:AD132" si="61">W69^2</f>
        <v>0</v>
      </c>
      <c r="AE101" s="4">
        <f t="shared" si="34"/>
        <v>0</v>
      </c>
      <c r="AF101" s="59">
        <f t="shared" ref="AF101:AF132" si="62">AE101^2/$Z$25</f>
        <v>0</v>
      </c>
    </row>
    <row r="102" spans="9:32" x14ac:dyDescent="0.15">
      <c r="I102" s="4">
        <f t="shared" si="50"/>
        <v>0</v>
      </c>
      <c r="J102" s="4">
        <f t="shared" si="51"/>
        <v>0</v>
      </c>
      <c r="K102" s="4">
        <f t="shared" si="52"/>
        <v>0</v>
      </c>
      <c r="L102" s="4">
        <f t="shared" si="53"/>
        <v>0</v>
      </c>
      <c r="M102" s="4">
        <f t="shared" si="54"/>
        <v>0</v>
      </c>
      <c r="N102" s="4">
        <f t="shared" si="55"/>
        <v>0</v>
      </c>
      <c r="Y102" s="4">
        <f t="shared" si="56"/>
        <v>0</v>
      </c>
      <c r="Z102" s="4">
        <f t="shared" si="57"/>
        <v>0</v>
      </c>
      <c r="AA102" s="4">
        <f t="shared" si="58"/>
        <v>0</v>
      </c>
      <c r="AB102" s="4">
        <f t="shared" si="59"/>
        <v>0</v>
      </c>
      <c r="AC102" s="4">
        <f t="shared" si="60"/>
        <v>0</v>
      </c>
      <c r="AD102" s="4">
        <f t="shared" si="61"/>
        <v>0</v>
      </c>
      <c r="AE102" s="4">
        <f t="shared" ref="AE102:AE136" si="63">SUM(R70:W70)</f>
        <v>0</v>
      </c>
      <c r="AF102" s="59">
        <f t="shared" si="62"/>
        <v>0</v>
      </c>
    </row>
    <row r="103" spans="9:32" x14ac:dyDescent="0.15">
      <c r="I103" s="4">
        <f t="shared" si="50"/>
        <v>0</v>
      </c>
      <c r="J103" s="4">
        <f t="shared" si="51"/>
        <v>0</v>
      </c>
      <c r="K103" s="4">
        <f t="shared" si="52"/>
        <v>0</v>
      </c>
      <c r="L103" s="4">
        <f t="shared" si="53"/>
        <v>0</v>
      </c>
      <c r="M103" s="4">
        <f t="shared" si="54"/>
        <v>0</v>
      </c>
      <c r="N103" s="4">
        <f t="shared" si="55"/>
        <v>0</v>
      </c>
      <c r="Y103" s="4">
        <f t="shared" si="56"/>
        <v>0</v>
      </c>
      <c r="Z103" s="4">
        <f t="shared" si="57"/>
        <v>0</v>
      </c>
      <c r="AA103" s="4">
        <f t="shared" si="58"/>
        <v>0</v>
      </c>
      <c r="AB103" s="4">
        <f t="shared" si="59"/>
        <v>0</v>
      </c>
      <c r="AC103" s="4">
        <f t="shared" si="60"/>
        <v>0</v>
      </c>
      <c r="AD103" s="4">
        <f t="shared" si="61"/>
        <v>0</v>
      </c>
      <c r="AE103" s="4">
        <f t="shared" si="63"/>
        <v>0</v>
      </c>
      <c r="AF103" s="59">
        <f t="shared" si="62"/>
        <v>0</v>
      </c>
    </row>
    <row r="104" spans="9:32" x14ac:dyDescent="0.15">
      <c r="I104" s="4">
        <f t="shared" si="50"/>
        <v>0</v>
      </c>
      <c r="J104" s="4">
        <f t="shared" si="51"/>
        <v>0</v>
      </c>
      <c r="K104" s="4">
        <f t="shared" si="52"/>
        <v>0</v>
      </c>
      <c r="L104" s="4">
        <f t="shared" si="53"/>
        <v>0</v>
      </c>
      <c r="M104" s="4">
        <f t="shared" si="54"/>
        <v>0</v>
      </c>
      <c r="N104" s="4">
        <f t="shared" si="55"/>
        <v>0</v>
      </c>
      <c r="Y104" s="4">
        <f t="shared" si="56"/>
        <v>0</v>
      </c>
      <c r="Z104" s="4">
        <f t="shared" si="57"/>
        <v>0</v>
      </c>
      <c r="AA104" s="4">
        <f t="shared" si="58"/>
        <v>0</v>
      </c>
      <c r="AB104" s="4">
        <f t="shared" si="59"/>
        <v>0</v>
      </c>
      <c r="AC104" s="4">
        <f t="shared" si="60"/>
        <v>0</v>
      </c>
      <c r="AD104" s="4">
        <f t="shared" si="61"/>
        <v>0</v>
      </c>
      <c r="AE104" s="4">
        <f t="shared" si="63"/>
        <v>0</v>
      </c>
      <c r="AF104" s="59">
        <f t="shared" si="62"/>
        <v>0</v>
      </c>
    </row>
    <row r="105" spans="9:32" x14ac:dyDescent="0.15">
      <c r="I105" s="4">
        <f t="shared" si="50"/>
        <v>0</v>
      </c>
      <c r="J105" s="4">
        <f t="shared" si="51"/>
        <v>0</v>
      </c>
      <c r="K105" s="4">
        <f t="shared" si="52"/>
        <v>0</v>
      </c>
      <c r="L105" s="4">
        <f t="shared" si="53"/>
        <v>0</v>
      </c>
      <c r="M105" s="4">
        <f t="shared" si="54"/>
        <v>0</v>
      </c>
      <c r="N105" s="4">
        <f t="shared" si="55"/>
        <v>0</v>
      </c>
      <c r="Y105" s="4">
        <f t="shared" si="56"/>
        <v>0</v>
      </c>
      <c r="Z105" s="4">
        <f t="shared" si="57"/>
        <v>0</v>
      </c>
      <c r="AA105" s="4">
        <f t="shared" si="58"/>
        <v>0</v>
      </c>
      <c r="AB105" s="4">
        <f t="shared" si="59"/>
        <v>0</v>
      </c>
      <c r="AC105" s="4">
        <f t="shared" si="60"/>
        <v>0</v>
      </c>
      <c r="AD105" s="4">
        <f t="shared" si="61"/>
        <v>0</v>
      </c>
      <c r="AE105" s="4">
        <f t="shared" si="63"/>
        <v>0</v>
      </c>
      <c r="AF105" s="59">
        <f t="shared" si="62"/>
        <v>0</v>
      </c>
    </row>
    <row r="106" spans="9:32" x14ac:dyDescent="0.15">
      <c r="I106" s="4">
        <f t="shared" si="50"/>
        <v>0</v>
      </c>
      <c r="J106" s="4">
        <f t="shared" si="51"/>
        <v>0</v>
      </c>
      <c r="K106" s="4">
        <f t="shared" si="52"/>
        <v>0</v>
      </c>
      <c r="L106" s="4">
        <f t="shared" si="53"/>
        <v>0</v>
      </c>
      <c r="M106" s="4">
        <f t="shared" si="54"/>
        <v>0</v>
      </c>
      <c r="N106" s="4">
        <f t="shared" si="55"/>
        <v>0</v>
      </c>
      <c r="Y106" s="4">
        <f t="shared" si="56"/>
        <v>0</v>
      </c>
      <c r="Z106" s="4">
        <f t="shared" si="57"/>
        <v>0</v>
      </c>
      <c r="AA106" s="4">
        <f t="shared" si="58"/>
        <v>0</v>
      </c>
      <c r="AB106" s="4">
        <f t="shared" si="59"/>
        <v>0</v>
      </c>
      <c r="AC106" s="4">
        <f t="shared" si="60"/>
        <v>0</v>
      </c>
      <c r="AD106" s="4">
        <f t="shared" si="61"/>
        <v>0</v>
      </c>
      <c r="AE106" s="4">
        <f t="shared" si="63"/>
        <v>0</v>
      </c>
      <c r="AF106" s="59">
        <f t="shared" si="62"/>
        <v>0</v>
      </c>
    </row>
    <row r="107" spans="9:32" x14ac:dyDescent="0.15">
      <c r="I107" s="4">
        <f t="shared" si="50"/>
        <v>0</v>
      </c>
      <c r="J107" s="4">
        <f t="shared" si="51"/>
        <v>0</v>
      </c>
      <c r="K107" s="4">
        <f t="shared" si="52"/>
        <v>0</v>
      </c>
      <c r="L107" s="4">
        <f t="shared" si="53"/>
        <v>0</v>
      </c>
      <c r="M107" s="4">
        <f t="shared" si="54"/>
        <v>0</v>
      </c>
      <c r="N107" s="4">
        <f t="shared" si="55"/>
        <v>0</v>
      </c>
      <c r="Y107" s="4">
        <f t="shared" si="56"/>
        <v>0</v>
      </c>
      <c r="Z107" s="4">
        <f t="shared" si="57"/>
        <v>0</v>
      </c>
      <c r="AA107" s="4">
        <f t="shared" si="58"/>
        <v>0</v>
      </c>
      <c r="AB107" s="4">
        <f t="shared" si="59"/>
        <v>0</v>
      </c>
      <c r="AC107" s="4">
        <f t="shared" si="60"/>
        <v>0</v>
      </c>
      <c r="AD107" s="4">
        <f t="shared" si="61"/>
        <v>0</v>
      </c>
      <c r="AE107" s="4">
        <f t="shared" si="63"/>
        <v>0</v>
      </c>
      <c r="AF107" s="59">
        <f t="shared" si="62"/>
        <v>0</v>
      </c>
    </row>
    <row r="108" spans="9:32" x14ac:dyDescent="0.15">
      <c r="I108" s="4">
        <f t="shared" si="50"/>
        <v>0</v>
      </c>
      <c r="J108" s="4">
        <f t="shared" si="51"/>
        <v>0</v>
      </c>
      <c r="K108" s="4">
        <f t="shared" si="52"/>
        <v>0</v>
      </c>
      <c r="L108" s="4">
        <f t="shared" si="53"/>
        <v>0</v>
      </c>
      <c r="M108" s="4">
        <f t="shared" si="54"/>
        <v>0</v>
      </c>
      <c r="N108" s="4">
        <f t="shared" si="55"/>
        <v>0</v>
      </c>
      <c r="Y108" s="4">
        <f t="shared" si="56"/>
        <v>0</v>
      </c>
      <c r="Z108" s="4">
        <f t="shared" si="57"/>
        <v>0</v>
      </c>
      <c r="AA108" s="4">
        <f t="shared" si="58"/>
        <v>0</v>
      </c>
      <c r="AB108" s="4">
        <f t="shared" si="59"/>
        <v>0</v>
      </c>
      <c r="AC108" s="4">
        <f t="shared" si="60"/>
        <v>0</v>
      </c>
      <c r="AD108" s="4">
        <f t="shared" si="61"/>
        <v>0</v>
      </c>
      <c r="AE108" s="4">
        <f t="shared" si="63"/>
        <v>0</v>
      </c>
      <c r="AF108" s="59">
        <f t="shared" si="62"/>
        <v>0</v>
      </c>
    </row>
    <row r="109" spans="9:32" x14ac:dyDescent="0.15">
      <c r="I109" s="4">
        <f t="shared" si="50"/>
        <v>0</v>
      </c>
      <c r="J109" s="4">
        <f t="shared" si="51"/>
        <v>0</v>
      </c>
      <c r="K109" s="4">
        <f t="shared" si="52"/>
        <v>0</v>
      </c>
      <c r="L109" s="4">
        <f t="shared" si="53"/>
        <v>0</v>
      </c>
      <c r="M109" s="4">
        <f t="shared" si="54"/>
        <v>0</v>
      </c>
      <c r="N109" s="4">
        <f t="shared" si="55"/>
        <v>0</v>
      </c>
      <c r="Y109" s="4">
        <f t="shared" si="56"/>
        <v>0</v>
      </c>
      <c r="Z109" s="4">
        <f t="shared" si="57"/>
        <v>0</v>
      </c>
      <c r="AA109" s="4">
        <f t="shared" si="58"/>
        <v>0</v>
      </c>
      <c r="AB109" s="4">
        <f t="shared" si="59"/>
        <v>0</v>
      </c>
      <c r="AC109" s="4">
        <f t="shared" si="60"/>
        <v>0</v>
      </c>
      <c r="AD109" s="4">
        <f t="shared" si="61"/>
        <v>0</v>
      </c>
      <c r="AE109" s="4">
        <f t="shared" si="63"/>
        <v>0</v>
      </c>
      <c r="AF109" s="59">
        <f t="shared" si="62"/>
        <v>0</v>
      </c>
    </row>
    <row r="110" spans="9:32" x14ac:dyDescent="0.15">
      <c r="I110" s="4">
        <f t="shared" si="50"/>
        <v>0</v>
      </c>
      <c r="J110" s="4">
        <f t="shared" si="51"/>
        <v>0</v>
      </c>
      <c r="K110" s="4">
        <f t="shared" si="52"/>
        <v>0</v>
      </c>
      <c r="L110" s="4">
        <f t="shared" si="53"/>
        <v>0</v>
      </c>
      <c r="M110" s="4">
        <f t="shared" si="54"/>
        <v>0</v>
      </c>
      <c r="N110" s="4">
        <f t="shared" si="55"/>
        <v>0</v>
      </c>
      <c r="Y110" s="4">
        <f t="shared" si="56"/>
        <v>0</v>
      </c>
      <c r="Z110" s="4">
        <f t="shared" si="57"/>
        <v>0</v>
      </c>
      <c r="AA110" s="4">
        <f t="shared" si="58"/>
        <v>0</v>
      </c>
      <c r="AB110" s="4">
        <f t="shared" si="59"/>
        <v>0</v>
      </c>
      <c r="AC110" s="4">
        <f t="shared" si="60"/>
        <v>0</v>
      </c>
      <c r="AD110" s="4">
        <f t="shared" si="61"/>
        <v>0</v>
      </c>
      <c r="AE110" s="4">
        <f t="shared" si="63"/>
        <v>0</v>
      </c>
      <c r="AF110" s="59">
        <f t="shared" si="62"/>
        <v>0</v>
      </c>
    </row>
    <row r="111" spans="9:32" x14ac:dyDescent="0.15">
      <c r="I111" s="4">
        <f t="shared" si="50"/>
        <v>0</v>
      </c>
      <c r="J111" s="4">
        <f t="shared" si="51"/>
        <v>0</v>
      </c>
      <c r="K111" s="4">
        <f t="shared" si="52"/>
        <v>0</v>
      </c>
      <c r="L111" s="4">
        <f t="shared" si="53"/>
        <v>0</v>
      </c>
      <c r="M111" s="4">
        <f t="shared" si="54"/>
        <v>0</v>
      </c>
      <c r="N111" s="4">
        <f t="shared" si="55"/>
        <v>0</v>
      </c>
      <c r="Y111" s="4">
        <f t="shared" si="56"/>
        <v>0</v>
      </c>
      <c r="Z111" s="4">
        <f t="shared" si="57"/>
        <v>0</v>
      </c>
      <c r="AA111" s="4">
        <f t="shared" si="58"/>
        <v>0</v>
      </c>
      <c r="AB111" s="4">
        <f t="shared" si="59"/>
        <v>0</v>
      </c>
      <c r="AC111" s="4">
        <f t="shared" si="60"/>
        <v>0</v>
      </c>
      <c r="AD111" s="4">
        <f t="shared" si="61"/>
        <v>0</v>
      </c>
      <c r="AE111" s="4">
        <f t="shared" si="63"/>
        <v>0</v>
      </c>
      <c r="AF111" s="59">
        <f t="shared" si="62"/>
        <v>0</v>
      </c>
    </row>
    <row r="112" spans="9:32" x14ac:dyDescent="0.15">
      <c r="I112" s="4">
        <f t="shared" si="50"/>
        <v>0</v>
      </c>
      <c r="J112" s="4">
        <f t="shared" si="51"/>
        <v>0</v>
      </c>
      <c r="K112" s="4">
        <f t="shared" si="52"/>
        <v>0</v>
      </c>
      <c r="L112" s="4">
        <f t="shared" si="53"/>
        <v>0</v>
      </c>
      <c r="M112" s="4">
        <f t="shared" si="54"/>
        <v>0</v>
      </c>
      <c r="N112" s="4">
        <f t="shared" si="55"/>
        <v>0</v>
      </c>
      <c r="Y112" s="4">
        <f t="shared" si="56"/>
        <v>0</v>
      </c>
      <c r="Z112" s="4">
        <f t="shared" si="57"/>
        <v>0</v>
      </c>
      <c r="AA112" s="4">
        <f t="shared" si="58"/>
        <v>0</v>
      </c>
      <c r="AB112" s="4">
        <f t="shared" si="59"/>
        <v>0</v>
      </c>
      <c r="AC112" s="4">
        <f t="shared" si="60"/>
        <v>0</v>
      </c>
      <c r="AD112" s="4">
        <f t="shared" si="61"/>
        <v>0</v>
      </c>
      <c r="AE112" s="4">
        <f t="shared" si="63"/>
        <v>0</v>
      </c>
      <c r="AF112" s="59">
        <f t="shared" si="62"/>
        <v>0</v>
      </c>
    </row>
    <row r="113" spans="9:32" x14ac:dyDescent="0.15">
      <c r="I113" s="4">
        <f t="shared" si="50"/>
        <v>0</v>
      </c>
      <c r="J113" s="4">
        <f t="shared" si="51"/>
        <v>0</v>
      </c>
      <c r="K113" s="4">
        <f t="shared" si="52"/>
        <v>0</v>
      </c>
      <c r="L113" s="4">
        <f t="shared" si="53"/>
        <v>0</v>
      </c>
      <c r="M113" s="4">
        <f t="shared" si="54"/>
        <v>0</v>
      </c>
      <c r="N113" s="4">
        <f t="shared" si="55"/>
        <v>0</v>
      </c>
      <c r="Y113" s="4">
        <f t="shared" si="56"/>
        <v>0</v>
      </c>
      <c r="Z113" s="4">
        <f t="shared" si="57"/>
        <v>0</v>
      </c>
      <c r="AA113" s="4">
        <f t="shared" si="58"/>
        <v>0</v>
      </c>
      <c r="AB113" s="4">
        <f t="shared" si="59"/>
        <v>0</v>
      </c>
      <c r="AC113" s="4">
        <f t="shared" si="60"/>
        <v>0</v>
      </c>
      <c r="AD113" s="4">
        <f t="shared" si="61"/>
        <v>0</v>
      </c>
      <c r="AE113" s="4">
        <f t="shared" si="63"/>
        <v>0</v>
      </c>
      <c r="AF113" s="59">
        <f t="shared" si="62"/>
        <v>0</v>
      </c>
    </row>
    <row r="114" spans="9:32" x14ac:dyDescent="0.15">
      <c r="I114" s="4">
        <f t="shared" si="50"/>
        <v>0</v>
      </c>
      <c r="J114" s="4">
        <f t="shared" si="51"/>
        <v>0</v>
      </c>
      <c r="K114" s="4">
        <f t="shared" si="52"/>
        <v>0</v>
      </c>
      <c r="L114" s="4">
        <f t="shared" si="53"/>
        <v>0</v>
      </c>
      <c r="M114" s="4">
        <f t="shared" si="54"/>
        <v>0</v>
      </c>
      <c r="N114" s="4">
        <f t="shared" si="55"/>
        <v>0</v>
      </c>
      <c r="Y114" s="4">
        <f t="shared" si="56"/>
        <v>0</v>
      </c>
      <c r="Z114" s="4">
        <f t="shared" si="57"/>
        <v>0</v>
      </c>
      <c r="AA114" s="4">
        <f t="shared" si="58"/>
        <v>0</v>
      </c>
      <c r="AB114" s="4">
        <f t="shared" si="59"/>
        <v>0</v>
      </c>
      <c r="AC114" s="4">
        <f t="shared" si="60"/>
        <v>0</v>
      </c>
      <c r="AD114" s="4">
        <f t="shared" si="61"/>
        <v>0</v>
      </c>
      <c r="AE114" s="4">
        <f t="shared" si="63"/>
        <v>0</v>
      </c>
      <c r="AF114" s="59">
        <f t="shared" si="62"/>
        <v>0</v>
      </c>
    </row>
    <row r="115" spans="9:32" x14ac:dyDescent="0.15">
      <c r="I115" s="4">
        <f t="shared" si="50"/>
        <v>0</v>
      </c>
      <c r="J115" s="4">
        <f t="shared" si="51"/>
        <v>0</v>
      </c>
      <c r="K115" s="4">
        <f t="shared" si="52"/>
        <v>0</v>
      </c>
      <c r="L115" s="4">
        <f t="shared" si="53"/>
        <v>0</v>
      </c>
      <c r="M115" s="4">
        <f t="shared" si="54"/>
        <v>0</v>
      </c>
      <c r="N115" s="4">
        <f t="shared" si="55"/>
        <v>0</v>
      </c>
      <c r="Y115" s="4">
        <f t="shared" si="56"/>
        <v>0</v>
      </c>
      <c r="Z115" s="4">
        <f t="shared" si="57"/>
        <v>0</v>
      </c>
      <c r="AA115" s="4">
        <f t="shared" si="58"/>
        <v>0</v>
      </c>
      <c r="AB115" s="4">
        <f t="shared" si="59"/>
        <v>0</v>
      </c>
      <c r="AC115" s="4">
        <f t="shared" si="60"/>
        <v>0</v>
      </c>
      <c r="AD115" s="4">
        <f t="shared" si="61"/>
        <v>0</v>
      </c>
      <c r="AE115" s="4">
        <f t="shared" si="63"/>
        <v>0</v>
      </c>
      <c r="AF115" s="59">
        <f t="shared" si="62"/>
        <v>0</v>
      </c>
    </row>
    <row r="116" spans="9:32" x14ac:dyDescent="0.15">
      <c r="I116" s="4">
        <f t="shared" si="50"/>
        <v>0</v>
      </c>
      <c r="J116" s="4">
        <f t="shared" si="51"/>
        <v>0</v>
      </c>
      <c r="K116" s="4">
        <f t="shared" si="52"/>
        <v>0</v>
      </c>
      <c r="L116" s="4">
        <f t="shared" si="53"/>
        <v>0</v>
      </c>
      <c r="M116" s="4">
        <f t="shared" si="54"/>
        <v>0</v>
      </c>
      <c r="N116" s="4">
        <f t="shared" si="55"/>
        <v>0</v>
      </c>
      <c r="Y116" s="4">
        <f t="shared" si="56"/>
        <v>0</v>
      </c>
      <c r="Z116" s="4">
        <f t="shared" si="57"/>
        <v>0</v>
      </c>
      <c r="AA116" s="4">
        <f t="shared" si="58"/>
        <v>0</v>
      </c>
      <c r="AB116" s="4">
        <f t="shared" si="59"/>
        <v>0</v>
      </c>
      <c r="AC116" s="4">
        <f t="shared" si="60"/>
        <v>0</v>
      </c>
      <c r="AD116" s="4">
        <f t="shared" si="61"/>
        <v>0</v>
      </c>
      <c r="AE116" s="4">
        <f t="shared" si="63"/>
        <v>0</v>
      </c>
      <c r="AF116" s="59">
        <f t="shared" si="62"/>
        <v>0</v>
      </c>
    </row>
    <row r="117" spans="9:32" x14ac:dyDescent="0.15">
      <c r="I117" s="4">
        <f t="shared" si="50"/>
        <v>0</v>
      </c>
      <c r="J117" s="4">
        <f t="shared" si="51"/>
        <v>0</v>
      </c>
      <c r="K117" s="4">
        <f t="shared" si="52"/>
        <v>0</v>
      </c>
      <c r="L117" s="4">
        <f t="shared" si="53"/>
        <v>0</v>
      </c>
      <c r="M117" s="4">
        <f t="shared" si="54"/>
        <v>0</v>
      </c>
      <c r="N117" s="4">
        <f t="shared" si="55"/>
        <v>0</v>
      </c>
      <c r="Y117" s="4">
        <f t="shared" si="56"/>
        <v>0</v>
      </c>
      <c r="Z117" s="4">
        <f t="shared" si="57"/>
        <v>0</v>
      </c>
      <c r="AA117" s="4">
        <f t="shared" si="58"/>
        <v>0</v>
      </c>
      <c r="AB117" s="4">
        <f t="shared" si="59"/>
        <v>0</v>
      </c>
      <c r="AC117" s="4">
        <f t="shared" si="60"/>
        <v>0</v>
      </c>
      <c r="AD117" s="4">
        <f t="shared" si="61"/>
        <v>0</v>
      </c>
      <c r="AE117" s="4">
        <f t="shared" si="63"/>
        <v>0</v>
      </c>
      <c r="AF117" s="59">
        <f t="shared" si="62"/>
        <v>0</v>
      </c>
    </row>
    <row r="118" spans="9:32" x14ac:dyDescent="0.15">
      <c r="I118" s="4">
        <f t="shared" si="50"/>
        <v>0</v>
      </c>
      <c r="J118" s="4">
        <f t="shared" si="51"/>
        <v>0</v>
      </c>
      <c r="K118" s="4">
        <f t="shared" si="52"/>
        <v>0</v>
      </c>
      <c r="L118" s="4">
        <f t="shared" si="53"/>
        <v>0</v>
      </c>
      <c r="M118" s="4">
        <f t="shared" si="54"/>
        <v>0</v>
      </c>
      <c r="N118" s="4">
        <f t="shared" si="55"/>
        <v>0</v>
      </c>
      <c r="Y118" s="4">
        <f t="shared" si="56"/>
        <v>0</v>
      </c>
      <c r="Z118" s="4">
        <f t="shared" si="57"/>
        <v>0</v>
      </c>
      <c r="AA118" s="4">
        <f t="shared" si="58"/>
        <v>0</v>
      </c>
      <c r="AB118" s="4">
        <f t="shared" si="59"/>
        <v>0</v>
      </c>
      <c r="AC118" s="4">
        <f t="shared" si="60"/>
        <v>0</v>
      </c>
      <c r="AD118" s="4">
        <f t="shared" si="61"/>
        <v>0</v>
      </c>
      <c r="AE118" s="4">
        <f t="shared" si="63"/>
        <v>0</v>
      </c>
      <c r="AF118" s="59">
        <f t="shared" si="62"/>
        <v>0</v>
      </c>
    </row>
    <row r="119" spans="9:32" x14ac:dyDescent="0.15">
      <c r="I119" s="4">
        <f t="shared" si="50"/>
        <v>0</v>
      </c>
      <c r="J119" s="4">
        <f t="shared" si="51"/>
        <v>0</v>
      </c>
      <c r="K119" s="4">
        <f t="shared" si="52"/>
        <v>0</v>
      </c>
      <c r="L119" s="4">
        <f t="shared" si="53"/>
        <v>0</v>
      </c>
      <c r="M119" s="4">
        <f t="shared" si="54"/>
        <v>0</v>
      </c>
      <c r="N119" s="4">
        <f t="shared" si="55"/>
        <v>0</v>
      </c>
      <c r="Y119" s="4">
        <f t="shared" si="56"/>
        <v>0</v>
      </c>
      <c r="Z119" s="4">
        <f t="shared" si="57"/>
        <v>0</v>
      </c>
      <c r="AA119" s="4">
        <f t="shared" si="58"/>
        <v>0</v>
      </c>
      <c r="AB119" s="4">
        <f t="shared" si="59"/>
        <v>0</v>
      </c>
      <c r="AC119" s="4">
        <f t="shared" si="60"/>
        <v>0</v>
      </c>
      <c r="AD119" s="4">
        <f t="shared" si="61"/>
        <v>0</v>
      </c>
      <c r="AE119" s="4">
        <f t="shared" si="63"/>
        <v>0</v>
      </c>
      <c r="AF119" s="59">
        <f t="shared" si="62"/>
        <v>0</v>
      </c>
    </row>
    <row r="120" spans="9:32" x14ac:dyDescent="0.15">
      <c r="I120" s="4">
        <f t="shared" si="50"/>
        <v>0</v>
      </c>
      <c r="J120" s="4">
        <f t="shared" si="51"/>
        <v>0</v>
      </c>
      <c r="K120" s="4">
        <f t="shared" si="52"/>
        <v>0</v>
      </c>
      <c r="L120" s="4">
        <f t="shared" si="53"/>
        <v>0</v>
      </c>
      <c r="M120" s="4">
        <f t="shared" si="54"/>
        <v>0</v>
      </c>
      <c r="N120" s="4">
        <f t="shared" si="55"/>
        <v>0</v>
      </c>
      <c r="Y120" s="4">
        <f t="shared" si="56"/>
        <v>0</v>
      </c>
      <c r="Z120" s="4">
        <f t="shared" si="57"/>
        <v>0</v>
      </c>
      <c r="AA120" s="4">
        <f t="shared" si="58"/>
        <v>0</v>
      </c>
      <c r="AB120" s="4">
        <f t="shared" si="59"/>
        <v>0</v>
      </c>
      <c r="AC120" s="4">
        <f t="shared" si="60"/>
        <v>0</v>
      </c>
      <c r="AD120" s="4">
        <f t="shared" si="61"/>
        <v>0</v>
      </c>
      <c r="AE120" s="4">
        <f t="shared" si="63"/>
        <v>0</v>
      </c>
      <c r="AF120" s="59">
        <f t="shared" si="62"/>
        <v>0</v>
      </c>
    </row>
    <row r="121" spans="9:32" x14ac:dyDescent="0.15">
      <c r="I121" s="4">
        <f t="shared" si="50"/>
        <v>0</v>
      </c>
      <c r="J121" s="4">
        <f t="shared" si="51"/>
        <v>0</v>
      </c>
      <c r="K121" s="4">
        <f t="shared" si="52"/>
        <v>0</v>
      </c>
      <c r="L121" s="4">
        <f t="shared" si="53"/>
        <v>0</v>
      </c>
      <c r="M121" s="4">
        <f t="shared" si="54"/>
        <v>0</v>
      </c>
      <c r="N121" s="4">
        <f t="shared" si="55"/>
        <v>0</v>
      </c>
      <c r="Y121" s="4">
        <f t="shared" si="56"/>
        <v>0</v>
      </c>
      <c r="Z121" s="4">
        <f t="shared" si="57"/>
        <v>0</v>
      </c>
      <c r="AA121" s="4">
        <f t="shared" si="58"/>
        <v>0</v>
      </c>
      <c r="AB121" s="4">
        <f t="shared" si="59"/>
        <v>0</v>
      </c>
      <c r="AC121" s="4">
        <f t="shared" si="60"/>
        <v>0</v>
      </c>
      <c r="AD121" s="4">
        <f t="shared" si="61"/>
        <v>0</v>
      </c>
      <c r="AE121" s="4">
        <f t="shared" si="63"/>
        <v>0</v>
      </c>
      <c r="AF121" s="59">
        <f t="shared" si="62"/>
        <v>0</v>
      </c>
    </row>
    <row r="122" spans="9:32" x14ac:dyDescent="0.15">
      <c r="I122" s="4">
        <f t="shared" si="50"/>
        <v>0</v>
      </c>
      <c r="J122" s="4">
        <f t="shared" si="51"/>
        <v>0</v>
      </c>
      <c r="K122" s="4">
        <f t="shared" si="52"/>
        <v>0</v>
      </c>
      <c r="L122" s="4">
        <f t="shared" si="53"/>
        <v>0</v>
      </c>
      <c r="M122" s="4">
        <f t="shared" si="54"/>
        <v>0</v>
      </c>
      <c r="N122" s="4">
        <f t="shared" si="55"/>
        <v>0</v>
      </c>
      <c r="Y122" s="4">
        <f t="shared" si="56"/>
        <v>0</v>
      </c>
      <c r="Z122" s="4">
        <f t="shared" si="57"/>
        <v>0</v>
      </c>
      <c r="AA122" s="4">
        <f t="shared" si="58"/>
        <v>0</v>
      </c>
      <c r="AB122" s="4">
        <f t="shared" si="59"/>
        <v>0</v>
      </c>
      <c r="AC122" s="4">
        <f t="shared" si="60"/>
        <v>0</v>
      </c>
      <c r="AD122" s="4">
        <f t="shared" si="61"/>
        <v>0</v>
      </c>
      <c r="AE122" s="4">
        <f t="shared" si="63"/>
        <v>0</v>
      </c>
      <c r="AF122" s="59">
        <f t="shared" si="62"/>
        <v>0</v>
      </c>
    </row>
    <row r="123" spans="9:32" x14ac:dyDescent="0.15">
      <c r="I123" s="4">
        <f t="shared" si="50"/>
        <v>0</v>
      </c>
      <c r="J123" s="4">
        <f t="shared" si="51"/>
        <v>0</v>
      </c>
      <c r="K123" s="4">
        <f t="shared" si="52"/>
        <v>0</v>
      </c>
      <c r="L123" s="4">
        <f t="shared" si="53"/>
        <v>0</v>
      </c>
      <c r="M123" s="4">
        <f t="shared" si="54"/>
        <v>0</v>
      </c>
      <c r="N123" s="4">
        <f t="shared" si="55"/>
        <v>0</v>
      </c>
      <c r="Y123" s="4">
        <f t="shared" si="56"/>
        <v>0</v>
      </c>
      <c r="Z123" s="4">
        <f t="shared" si="57"/>
        <v>0</v>
      </c>
      <c r="AA123" s="4">
        <f t="shared" si="58"/>
        <v>0</v>
      </c>
      <c r="AB123" s="4">
        <f t="shared" si="59"/>
        <v>0</v>
      </c>
      <c r="AC123" s="4">
        <f t="shared" si="60"/>
        <v>0</v>
      </c>
      <c r="AD123" s="4">
        <f t="shared" si="61"/>
        <v>0</v>
      </c>
      <c r="AE123" s="4">
        <f t="shared" si="63"/>
        <v>0</v>
      </c>
      <c r="AF123" s="59">
        <f t="shared" si="62"/>
        <v>0</v>
      </c>
    </row>
    <row r="124" spans="9:32" x14ac:dyDescent="0.15">
      <c r="I124" s="4">
        <f t="shared" si="50"/>
        <v>0</v>
      </c>
      <c r="J124" s="4">
        <f t="shared" si="51"/>
        <v>0</v>
      </c>
      <c r="K124" s="4">
        <f t="shared" si="52"/>
        <v>0</v>
      </c>
      <c r="L124" s="4">
        <f t="shared" si="53"/>
        <v>0</v>
      </c>
      <c r="M124" s="4">
        <f t="shared" si="54"/>
        <v>0</v>
      </c>
      <c r="N124" s="4">
        <f t="shared" si="55"/>
        <v>0</v>
      </c>
      <c r="Y124" s="4">
        <f t="shared" si="56"/>
        <v>0</v>
      </c>
      <c r="Z124" s="4">
        <f t="shared" si="57"/>
        <v>0</v>
      </c>
      <c r="AA124" s="4">
        <f t="shared" si="58"/>
        <v>0</v>
      </c>
      <c r="AB124" s="4">
        <f t="shared" si="59"/>
        <v>0</v>
      </c>
      <c r="AC124" s="4">
        <f t="shared" si="60"/>
        <v>0</v>
      </c>
      <c r="AD124" s="4">
        <f t="shared" si="61"/>
        <v>0</v>
      </c>
      <c r="AE124" s="4">
        <f t="shared" si="63"/>
        <v>0</v>
      </c>
      <c r="AF124" s="59">
        <f t="shared" si="62"/>
        <v>0</v>
      </c>
    </row>
    <row r="125" spans="9:32" x14ac:dyDescent="0.15">
      <c r="I125" s="4">
        <f t="shared" si="50"/>
        <v>0</v>
      </c>
      <c r="J125" s="4">
        <f t="shared" si="51"/>
        <v>0</v>
      </c>
      <c r="K125" s="4">
        <f t="shared" si="52"/>
        <v>0</v>
      </c>
      <c r="L125" s="4">
        <f t="shared" si="53"/>
        <v>0</v>
      </c>
      <c r="M125" s="4">
        <f t="shared" si="54"/>
        <v>0</v>
      </c>
      <c r="N125" s="4">
        <f t="shared" si="55"/>
        <v>0</v>
      </c>
      <c r="Y125" s="4">
        <f t="shared" si="56"/>
        <v>0</v>
      </c>
      <c r="Z125" s="4">
        <f t="shared" si="57"/>
        <v>0</v>
      </c>
      <c r="AA125" s="4">
        <f t="shared" si="58"/>
        <v>0</v>
      </c>
      <c r="AB125" s="4">
        <f t="shared" si="59"/>
        <v>0</v>
      </c>
      <c r="AC125" s="4">
        <f t="shared" si="60"/>
        <v>0</v>
      </c>
      <c r="AD125" s="4">
        <f t="shared" si="61"/>
        <v>0</v>
      </c>
      <c r="AE125" s="4">
        <f t="shared" si="63"/>
        <v>0</v>
      </c>
      <c r="AF125" s="59">
        <f t="shared" si="62"/>
        <v>0</v>
      </c>
    </row>
    <row r="126" spans="9:32" x14ac:dyDescent="0.15">
      <c r="I126" s="4">
        <f t="shared" si="50"/>
        <v>0</v>
      </c>
      <c r="J126" s="4">
        <f t="shared" si="51"/>
        <v>0</v>
      </c>
      <c r="K126" s="4">
        <f t="shared" si="52"/>
        <v>0</v>
      </c>
      <c r="L126" s="4">
        <f t="shared" si="53"/>
        <v>0</v>
      </c>
      <c r="M126" s="4">
        <f t="shared" si="54"/>
        <v>0</v>
      </c>
      <c r="N126" s="4">
        <f t="shared" si="55"/>
        <v>0</v>
      </c>
      <c r="Y126" s="4">
        <f t="shared" si="56"/>
        <v>0</v>
      </c>
      <c r="Z126" s="4">
        <f t="shared" si="57"/>
        <v>0</v>
      </c>
      <c r="AA126" s="4">
        <f t="shared" si="58"/>
        <v>0</v>
      </c>
      <c r="AB126" s="4">
        <f t="shared" si="59"/>
        <v>0</v>
      </c>
      <c r="AC126" s="4">
        <f t="shared" si="60"/>
        <v>0</v>
      </c>
      <c r="AD126" s="4">
        <f t="shared" si="61"/>
        <v>0</v>
      </c>
      <c r="AE126" s="4">
        <f t="shared" si="63"/>
        <v>0</v>
      </c>
      <c r="AF126" s="59">
        <f t="shared" si="62"/>
        <v>0</v>
      </c>
    </row>
    <row r="127" spans="9:32" x14ac:dyDescent="0.15">
      <c r="I127" s="4">
        <f t="shared" si="50"/>
        <v>0</v>
      </c>
      <c r="J127" s="4">
        <f t="shared" si="51"/>
        <v>0</v>
      </c>
      <c r="K127" s="4">
        <f t="shared" si="52"/>
        <v>0</v>
      </c>
      <c r="L127" s="4">
        <f t="shared" si="53"/>
        <v>0</v>
      </c>
      <c r="M127" s="4">
        <f t="shared" si="54"/>
        <v>0</v>
      </c>
      <c r="N127" s="4">
        <f t="shared" si="55"/>
        <v>0</v>
      </c>
      <c r="Y127" s="4">
        <f t="shared" si="56"/>
        <v>0</v>
      </c>
      <c r="Z127" s="4">
        <f t="shared" si="57"/>
        <v>0</v>
      </c>
      <c r="AA127" s="4">
        <f t="shared" si="58"/>
        <v>0</v>
      </c>
      <c r="AB127" s="4">
        <f t="shared" si="59"/>
        <v>0</v>
      </c>
      <c r="AC127" s="4">
        <f t="shared" si="60"/>
        <v>0</v>
      </c>
      <c r="AD127" s="4">
        <f t="shared" si="61"/>
        <v>0</v>
      </c>
      <c r="AE127" s="4">
        <f t="shared" si="63"/>
        <v>0</v>
      </c>
      <c r="AF127" s="59">
        <f t="shared" si="62"/>
        <v>0</v>
      </c>
    </row>
    <row r="128" spans="9:32" x14ac:dyDescent="0.15">
      <c r="I128" s="4">
        <f t="shared" si="50"/>
        <v>0</v>
      </c>
      <c r="J128" s="4">
        <f t="shared" si="51"/>
        <v>0</v>
      </c>
      <c r="K128" s="4">
        <f t="shared" si="52"/>
        <v>0</v>
      </c>
      <c r="L128" s="4">
        <f t="shared" si="53"/>
        <v>0</v>
      </c>
      <c r="M128" s="4">
        <f t="shared" si="54"/>
        <v>0</v>
      </c>
      <c r="N128" s="4">
        <f t="shared" si="55"/>
        <v>0</v>
      </c>
      <c r="Y128" s="4">
        <f t="shared" si="56"/>
        <v>0</v>
      </c>
      <c r="Z128" s="4">
        <f t="shared" si="57"/>
        <v>0</v>
      </c>
      <c r="AA128" s="4">
        <f t="shared" si="58"/>
        <v>0</v>
      </c>
      <c r="AB128" s="4">
        <f t="shared" si="59"/>
        <v>0</v>
      </c>
      <c r="AC128" s="4">
        <f t="shared" si="60"/>
        <v>0</v>
      </c>
      <c r="AD128" s="4">
        <f t="shared" si="61"/>
        <v>0</v>
      </c>
      <c r="AE128" s="4">
        <f t="shared" si="63"/>
        <v>0</v>
      </c>
      <c r="AF128" s="59">
        <f t="shared" si="62"/>
        <v>0</v>
      </c>
    </row>
    <row r="129" spans="9:32" x14ac:dyDescent="0.15">
      <c r="I129" s="4">
        <f t="shared" si="50"/>
        <v>0</v>
      </c>
      <c r="J129" s="4">
        <f t="shared" si="51"/>
        <v>0</v>
      </c>
      <c r="K129" s="4">
        <f t="shared" si="52"/>
        <v>0</v>
      </c>
      <c r="L129" s="4">
        <f t="shared" si="53"/>
        <v>0</v>
      </c>
      <c r="M129" s="4">
        <f t="shared" si="54"/>
        <v>0</v>
      </c>
      <c r="N129" s="4">
        <f t="shared" si="55"/>
        <v>0</v>
      </c>
      <c r="Y129" s="4">
        <f t="shared" si="56"/>
        <v>0</v>
      </c>
      <c r="Z129" s="4">
        <f t="shared" si="57"/>
        <v>0</v>
      </c>
      <c r="AA129" s="4">
        <f t="shared" si="58"/>
        <v>0</v>
      </c>
      <c r="AB129" s="4">
        <f t="shared" si="59"/>
        <v>0</v>
      </c>
      <c r="AC129" s="4">
        <f t="shared" si="60"/>
        <v>0</v>
      </c>
      <c r="AD129" s="4">
        <f t="shared" si="61"/>
        <v>0</v>
      </c>
      <c r="AE129" s="4">
        <f t="shared" si="63"/>
        <v>0</v>
      </c>
      <c r="AF129" s="59">
        <f t="shared" si="62"/>
        <v>0</v>
      </c>
    </row>
    <row r="130" spans="9:32" x14ac:dyDescent="0.15">
      <c r="I130" s="4">
        <f t="shared" si="50"/>
        <v>0</v>
      </c>
      <c r="J130" s="4">
        <f t="shared" si="51"/>
        <v>0</v>
      </c>
      <c r="K130" s="4">
        <f t="shared" si="52"/>
        <v>0</v>
      </c>
      <c r="L130" s="4">
        <f t="shared" si="53"/>
        <v>0</v>
      </c>
      <c r="M130" s="4">
        <f t="shared" si="54"/>
        <v>0</v>
      </c>
      <c r="N130" s="4">
        <f t="shared" si="55"/>
        <v>0</v>
      </c>
      <c r="Y130" s="4">
        <f t="shared" si="56"/>
        <v>0</v>
      </c>
      <c r="Z130" s="4">
        <f t="shared" si="57"/>
        <v>0</v>
      </c>
      <c r="AA130" s="4">
        <f t="shared" si="58"/>
        <v>0</v>
      </c>
      <c r="AB130" s="4">
        <f t="shared" si="59"/>
        <v>0</v>
      </c>
      <c r="AC130" s="4">
        <f t="shared" si="60"/>
        <v>0</v>
      </c>
      <c r="AD130" s="4">
        <f t="shared" si="61"/>
        <v>0</v>
      </c>
      <c r="AE130" s="4">
        <f t="shared" si="63"/>
        <v>0</v>
      </c>
      <c r="AF130" s="59">
        <f t="shared" si="62"/>
        <v>0</v>
      </c>
    </row>
    <row r="131" spans="9:32" x14ac:dyDescent="0.15">
      <c r="I131" s="4">
        <f t="shared" ref="I131:I134" si="64">B101^2</f>
        <v>0</v>
      </c>
      <c r="J131" s="4">
        <f t="shared" ref="J131:J134" si="65">C101^2</f>
        <v>0</v>
      </c>
      <c r="K131" s="4">
        <f t="shared" ref="K131:K134" si="66">D101^2</f>
        <v>0</v>
      </c>
      <c r="L131" s="4">
        <f t="shared" ref="L131:L134" si="67">E101^2</f>
        <v>0</v>
      </c>
      <c r="M131" s="4">
        <f t="shared" ref="M131:M134" si="68">F101^2</f>
        <v>0</v>
      </c>
      <c r="N131" s="4">
        <f t="shared" ref="N131:N134" si="69">G101^2</f>
        <v>0</v>
      </c>
      <c r="Y131" s="4">
        <f t="shared" si="56"/>
        <v>0</v>
      </c>
      <c r="Z131" s="4">
        <f t="shared" si="57"/>
        <v>0</v>
      </c>
      <c r="AA131" s="4">
        <f t="shared" si="58"/>
        <v>0</v>
      </c>
      <c r="AB131" s="4">
        <f t="shared" si="59"/>
        <v>0</v>
      </c>
      <c r="AC131" s="4">
        <f t="shared" si="60"/>
        <v>0</v>
      </c>
      <c r="AD131" s="4">
        <f t="shared" si="61"/>
        <v>0</v>
      </c>
      <c r="AE131" s="4">
        <f t="shared" si="63"/>
        <v>0</v>
      </c>
      <c r="AF131" s="59">
        <f t="shared" si="62"/>
        <v>0</v>
      </c>
    </row>
    <row r="132" spans="9:32" x14ac:dyDescent="0.15">
      <c r="I132" s="4">
        <f t="shared" si="64"/>
        <v>0</v>
      </c>
      <c r="J132" s="4">
        <f t="shared" si="65"/>
        <v>0</v>
      </c>
      <c r="K132" s="4">
        <f t="shared" si="66"/>
        <v>0</v>
      </c>
      <c r="L132" s="4">
        <f t="shared" si="67"/>
        <v>0</v>
      </c>
      <c r="M132" s="4">
        <f t="shared" si="68"/>
        <v>0</v>
      </c>
      <c r="N132" s="4">
        <f t="shared" si="69"/>
        <v>0</v>
      </c>
      <c r="Y132" s="4">
        <f t="shared" si="56"/>
        <v>0</v>
      </c>
      <c r="Z132" s="4">
        <f t="shared" si="57"/>
        <v>0</v>
      </c>
      <c r="AA132" s="4">
        <f t="shared" si="58"/>
        <v>0</v>
      </c>
      <c r="AB132" s="4">
        <f t="shared" si="59"/>
        <v>0</v>
      </c>
      <c r="AC132" s="4">
        <f t="shared" si="60"/>
        <v>0</v>
      </c>
      <c r="AD132" s="4">
        <f t="shared" si="61"/>
        <v>0</v>
      </c>
      <c r="AE132" s="4">
        <f t="shared" si="63"/>
        <v>0</v>
      </c>
      <c r="AF132" s="59">
        <f t="shared" si="62"/>
        <v>0</v>
      </c>
    </row>
    <row r="133" spans="9:32" x14ac:dyDescent="0.15">
      <c r="I133" s="4">
        <f t="shared" si="64"/>
        <v>0</v>
      </c>
      <c r="J133" s="4">
        <f t="shared" si="65"/>
        <v>0</v>
      </c>
      <c r="K133" s="4">
        <f t="shared" si="66"/>
        <v>0</v>
      </c>
      <c r="L133" s="4">
        <f t="shared" si="67"/>
        <v>0</v>
      </c>
      <c r="M133" s="4">
        <f t="shared" si="68"/>
        <v>0</v>
      </c>
      <c r="N133" s="4">
        <f t="shared" si="69"/>
        <v>0</v>
      </c>
      <c r="Y133" s="4">
        <f t="shared" ref="Y133:Y136" si="70">R101^2</f>
        <v>0</v>
      </c>
      <c r="Z133" s="4">
        <f t="shared" ref="Z133:Z136" si="71">S101^2</f>
        <v>0</v>
      </c>
      <c r="AA133" s="4">
        <f t="shared" ref="AA133:AA136" si="72">T101^2</f>
        <v>0</v>
      </c>
      <c r="AB133" s="4">
        <f t="shared" ref="AB133:AB136" si="73">U101^2</f>
        <v>0</v>
      </c>
      <c r="AC133" s="4">
        <f t="shared" ref="AC133:AC136" si="74">V101^2</f>
        <v>0</v>
      </c>
      <c r="AD133" s="4">
        <f t="shared" ref="AD133:AD136" si="75">W101^2</f>
        <v>0</v>
      </c>
      <c r="AE133" s="4">
        <f t="shared" si="63"/>
        <v>0</v>
      </c>
      <c r="AF133" s="59">
        <f t="shared" ref="AF133:AF136" si="76">AE133^2/$Z$25</f>
        <v>0</v>
      </c>
    </row>
    <row r="134" spans="9:32" x14ac:dyDescent="0.15">
      <c r="I134" s="4">
        <f t="shared" si="64"/>
        <v>0</v>
      </c>
      <c r="J134" s="4">
        <f t="shared" si="65"/>
        <v>0</v>
      </c>
      <c r="K134" s="4">
        <f t="shared" si="66"/>
        <v>0</v>
      </c>
      <c r="L134" s="4">
        <f t="shared" si="67"/>
        <v>0</v>
      </c>
      <c r="M134" s="4">
        <f t="shared" si="68"/>
        <v>0</v>
      </c>
      <c r="N134" s="4">
        <f t="shared" si="69"/>
        <v>0</v>
      </c>
      <c r="Y134" s="4">
        <f t="shared" si="70"/>
        <v>0</v>
      </c>
      <c r="Z134" s="4">
        <f t="shared" si="71"/>
        <v>0</v>
      </c>
      <c r="AA134" s="4">
        <f t="shared" si="72"/>
        <v>0</v>
      </c>
      <c r="AB134" s="4">
        <f t="shared" si="73"/>
        <v>0</v>
      </c>
      <c r="AC134" s="4">
        <f t="shared" si="74"/>
        <v>0</v>
      </c>
      <c r="AD134" s="4">
        <f t="shared" si="75"/>
        <v>0</v>
      </c>
      <c r="AE134" s="4">
        <f t="shared" si="63"/>
        <v>0</v>
      </c>
      <c r="AF134" s="59">
        <f t="shared" si="76"/>
        <v>0</v>
      </c>
    </row>
    <row r="135" spans="9:32" x14ac:dyDescent="0.15">
      <c r="Y135" s="4">
        <f t="shared" si="70"/>
        <v>0</v>
      </c>
      <c r="Z135" s="4">
        <f t="shared" si="71"/>
        <v>0</v>
      </c>
      <c r="AA135" s="4">
        <f t="shared" si="72"/>
        <v>0</v>
      </c>
      <c r="AB135" s="4">
        <f t="shared" si="73"/>
        <v>0</v>
      </c>
      <c r="AC135" s="4">
        <f t="shared" si="74"/>
        <v>0</v>
      </c>
      <c r="AD135" s="4">
        <f t="shared" si="75"/>
        <v>0</v>
      </c>
      <c r="AE135" s="4">
        <f t="shared" si="63"/>
        <v>0</v>
      </c>
      <c r="AF135" s="59">
        <f t="shared" si="76"/>
        <v>0</v>
      </c>
    </row>
    <row r="136" spans="9:32" x14ac:dyDescent="0.15">
      <c r="Y136" s="4">
        <f t="shared" si="70"/>
        <v>0</v>
      </c>
      <c r="Z136" s="4">
        <f t="shared" si="71"/>
        <v>0</v>
      </c>
      <c r="AA136" s="4">
        <f t="shared" si="72"/>
        <v>0</v>
      </c>
      <c r="AB136" s="4">
        <f t="shared" si="73"/>
        <v>0</v>
      </c>
      <c r="AC136" s="4">
        <f t="shared" si="74"/>
        <v>0</v>
      </c>
      <c r="AD136" s="4">
        <f t="shared" si="75"/>
        <v>0</v>
      </c>
      <c r="AE136" s="4">
        <f t="shared" si="63"/>
        <v>0</v>
      </c>
      <c r="AF136" s="59">
        <f t="shared" si="76"/>
        <v>0</v>
      </c>
    </row>
  </sheetData>
  <mergeCells count="15">
    <mergeCell ref="Y36:AD36"/>
    <mergeCell ref="K13:N13"/>
    <mergeCell ref="AA15:AD15"/>
    <mergeCell ref="R1:AF1"/>
    <mergeCell ref="R3:W3"/>
    <mergeCell ref="Y3:AE3"/>
    <mergeCell ref="I34:N34"/>
    <mergeCell ref="B1:P1"/>
    <mergeCell ref="B3:G3"/>
    <mergeCell ref="I3:O3"/>
    <mergeCell ref="AM3:AS3"/>
    <mergeCell ref="AV3:BB3"/>
    <mergeCell ref="AL1:AS1"/>
    <mergeCell ref="AU1:BB1"/>
    <mergeCell ref="AH1:AJ1"/>
  </mergeCells>
  <phoneticPr fontId="4" type="noConversion"/>
  <pageMargins left="0.75" right="0.75" top="1" bottom="1" header="0.5" footer="0.5"/>
  <pageSetup scale="90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54"/>
  <sheetViews>
    <sheetView workbookViewId="0"/>
  </sheetViews>
  <sheetFormatPr baseColWidth="10" defaultColWidth="8.83203125" defaultRowHeight="13" x14ac:dyDescent="0.15"/>
  <cols>
    <col min="1" max="1" width="1.6640625" style="85" customWidth="1"/>
    <col min="2" max="5" width="8.83203125" style="85"/>
    <col min="6" max="6" width="13.5" style="85" customWidth="1"/>
    <col min="7" max="13" width="8.83203125" style="85"/>
    <col min="14" max="14" width="13.5" style="85" customWidth="1"/>
    <col min="15" max="16384" width="8.83203125" style="85"/>
  </cols>
  <sheetData>
    <row r="1" spans="2:26" ht="15" thickBot="1" x14ac:dyDescent="0.2">
      <c r="B1" s="288" t="s">
        <v>42</v>
      </c>
      <c r="C1" s="288"/>
      <c r="D1" s="288"/>
      <c r="F1" s="268" t="s">
        <v>44</v>
      </c>
      <c r="G1" s="272"/>
      <c r="H1" s="272"/>
      <c r="I1" s="272"/>
      <c r="J1" s="272"/>
      <c r="K1" s="272"/>
      <c r="L1" s="272"/>
      <c r="N1" s="268" t="s">
        <v>45</v>
      </c>
      <c r="O1" s="272"/>
      <c r="P1" s="272"/>
      <c r="Q1" s="272"/>
      <c r="R1" s="272"/>
      <c r="S1" s="272"/>
      <c r="T1" s="272"/>
    </row>
    <row r="2" spans="2:26" x14ac:dyDescent="0.15">
      <c r="F2" s="151"/>
      <c r="N2" s="151"/>
    </row>
    <row r="3" spans="2:26" x14ac:dyDescent="0.15">
      <c r="B3" s="152"/>
      <c r="C3" s="153" t="s">
        <v>167</v>
      </c>
      <c r="D3" s="88">
        <v>3.42</v>
      </c>
      <c r="G3" s="286" t="s">
        <v>41</v>
      </c>
      <c r="H3" s="287"/>
      <c r="I3" s="287"/>
      <c r="J3" s="287"/>
      <c r="K3" s="287"/>
      <c r="L3" s="287"/>
      <c r="O3" s="286" t="s">
        <v>41</v>
      </c>
      <c r="P3" s="287"/>
      <c r="Q3" s="287"/>
      <c r="R3" s="287"/>
      <c r="S3" s="287"/>
      <c r="T3" s="287"/>
      <c r="Z3" s="3"/>
    </row>
    <row r="4" spans="2:26" ht="14" thickBot="1" x14ac:dyDescent="0.2">
      <c r="B4" s="155"/>
      <c r="C4" s="84" t="s">
        <v>174</v>
      </c>
      <c r="D4" s="89">
        <v>8.36</v>
      </c>
      <c r="F4" s="67" t="s">
        <v>6</v>
      </c>
      <c r="G4" s="50">
        <v>3</v>
      </c>
      <c r="H4" s="50">
        <v>4</v>
      </c>
      <c r="I4" s="50">
        <v>5</v>
      </c>
      <c r="J4" s="50">
        <v>6</v>
      </c>
      <c r="K4" s="50">
        <v>7</v>
      </c>
      <c r="L4" s="50">
        <v>8</v>
      </c>
      <c r="N4" s="67" t="s">
        <v>6</v>
      </c>
      <c r="O4" s="50">
        <v>3</v>
      </c>
      <c r="P4" s="50">
        <v>4</v>
      </c>
      <c r="Q4" s="50">
        <v>5</v>
      </c>
      <c r="R4" s="50">
        <v>6</v>
      </c>
      <c r="S4" s="50">
        <v>7</v>
      </c>
      <c r="T4" s="50">
        <v>8</v>
      </c>
      <c r="Z4" s="3"/>
    </row>
    <row r="5" spans="2:26" ht="14" thickBot="1" x14ac:dyDescent="0.2">
      <c r="B5" s="155"/>
      <c r="C5" s="156" t="s">
        <v>119</v>
      </c>
      <c r="D5" s="89">
        <v>16.363600000000002</v>
      </c>
      <c r="F5" s="111">
        <v>2</v>
      </c>
      <c r="G5" s="157">
        <v>8.3307825511898308</v>
      </c>
      <c r="H5" s="158">
        <v>9.7990106005220508</v>
      </c>
      <c r="I5" s="158">
        <v>10.881114144209899</v>
      </c>
      <c r="J5" s="158">
        <v>11.7336074585894</v>
      </c>
      <c r="K5" s="158">
        <v>12.434557749399699</v>
      </c>
      <c r="L5" s="159">
        <v>13.028216428322301</v>
      </c>
      <c r="N5" s="111">
        <v>2</v>
      </c>
      <c r="O5" s="157">
        <v>19.015496329474601</v>
      </c>
      <c r="P5" s="158">
        <v>22.5637057665868</v>
      </c>
      <c r="Q5" s="158">
        <v>25.372048292341599</v>
      </c>
      <c r="R5" s="158">
        <v>27.7569366563228</v>
      </c>
      <c r="S5" s="158">
        <v>29.855516292149101</v>
      </c>
      <c r="T5" s="159">
        <v>31.729537071841101</v>
      </c>
      <c r="Z5" s="3"/>
    </row>
    <row r="6" spans="2:26" ht="14" thickBot="1" x14ac:dyDescent="0.2">
      <c r="B6" s="160"/>
      <c r="C6" s="161" t="s">
        <v>175</v>
      </c>
      <c r="D6" s="45">
        <f>D3*SQRT(D4/D5)</f>
        <v>2.4444987377893055</v>
      </c>
      <c r="F6" s="111">
        <v>3</v>
      </c>
      <c r="G6" s="162">
        <v>5.90966324856171</v>
      </c>
      <c r="H6" s="163">
        <v>6.8245264508190902</v>
      </c>
      <c r="I6" s="163">
        <v>7.5016593759408501</v>
      </c>
      <c r="J6" s="163">
        <v>8.0370844990936998</v>
      </c>
      <c r="K6" s="163">
        <v>8.4783159919161797</v>
      </c>
      <c r="L6" s="164">
        <v>8.8524980081990901</v>
      </c>
      <c r="N6" s="111">
        <v>3</v>
      </c>
      <c r="O6" s="162">
        <v>10.620403607262199</v>
      </c>
      <c r="P6" s="163">
        <v>12.169529803300099</v>
      </c>
      <c r="Q6" s="163">
        <v>13.322343474191401</v>
      </c>
      <c r="R6" s="163">
        <v>14.238616101659501</v>
      </c>
      <c r="S6" s="163">
        <v>14.9981282302442</v>
      </c>
      <c r="T6" s="164">
        <v>15.646441934246401</v>
      </c>
      <c r="Z6" s="3"/>
    </row>
    <row r="7" spans="2:26" x14ac:dyDescent="0.15">
      <c r="F7" s="111">
        <v>4</v>
      </c>
      <c r="G7" s="162">
        <v>5.04024125011499</v>
      </c>
      <c r="H7" s="163">
        <v>5.7570584163868803</v>
      </c>
      <c r="I7" s="163">
        <v>6.2870269992558603</v>
      </c>
      <c r="J7" s="163">
        <v>6.7064385968784803</v>
      </c>
      <c r="K7" s="163">
        <v>7.0525536552162196</v>
      </c>
      <c r="L7" s="164">
        <v>7.3465187347112897</v>
      </c>
      <c r="N7" s="111">
        <v>4</v>
      </c>
      <c r="O7" s="162">
        <v>8.1197918063364405</v>
      </c>
      <c r="P7" s="163">
        <v>9.1728778955435502</v>
      </c>
      <c r="Q7" s="163">
        <v>9.9582916987648993</v>
      </c>
      <c r="R7" s="163">
        <v>10.583259690102899</v>
      </c>
      <c r="S7" s="163">
        <v>11.100909108794299</v>
      </c>
      <c r="T7" s="164">
        <v>11.5417014001795</v>
      </c>
      <c r="Z7" s="3"/>
    </row>
    <row r="8" spans="2:26" x14ac:dyDescent="0.15">
      <c r="F8" s="111">
        <v>5</v>
      </c>
      <c r="G8" s="162">
        <v>4.6017254459428303</v>
      </c>
      <c r="H8" s="163">
        <v>5.2183248745976103</v>
      </c>
      <c r="I8" s="163">
        <v>5.6731245392888301</v>
      </c>
      <c r="J8" s="163">
        <v>6.0329026832248003</v>
      </c>
      <c r="K8" s="163">
        <v>6.3299009596835702</v>
      </c>
      <c r="L8" s="164">
        <v>6.5823007383491499</v>
      </c>
      <c r="N8" s="111">
        <v>5</v>
      </c>
      <c r="O8" s="162">
        <v>6.9757273172821197</v>
      </c>
      <c r="P8" s="163">
        <v>7.8041556656566096</v>
      </c>
      <c r="Q8" s="163">
        <v>8.4214949451906609</v>
      </c>
      <c r="R8" s="163">
        <v>8.9131071702749995</v>
      </c>
      <c r="S8" s="163">
        <v>9.32087532498225</v>
      </c>
      <c r="T8" s="164">
        <v>9.6686810291136993</v>
      </c>
    </row>
    <row r="9" spans="2:26" ht="14" thickBot="1" x14ac:dyDescent="0.2">
      <c r="B9" s="285" t="s">
        <v>43</v>
      </c>
      <c r="C9" s="285"/>
      <c r="D9" s="285"/>
      <c r="F9" s="111">
        <v>6</v>
      </c>
      <c r="G9" s="162">
        <v>4.339195313027</v>
      </c>
      <c r="H9" s="163">
        <v>4.8955991840574997</v>
      </c>
      <c r="I9" s="163">
        <v>5.3048907056511903</v>
      </c>
      <c r="J9" s="163">
        <v>5.6283532499612399</v>
      </c>
      <c r="K9" s="163">
        <v>5.8953093347005403</v>
      </c>
      <c r="L9" s="164">
        <v>6.1222021952913401</v>
      </c>
      <c r="N9" s="111">
        <v>6</v>
      </c>
      <c r="O9" s="162">
        <v>6.3305075978015397</v>
      </c>
      <c r="P9" s="163">
        <v>7.03326299510063</v>
      </c>
      <c r="Q9" s="163">
        <v>7.5560394350840001</v>
      </c>
      <c r="R9" s="163">
        <v>7.9722770932456397</v>
      </c>
      <c r="S9" s="163">
        <v>8.3176734372924006</v>
      </c>
      <c r="T9" s="164">
        <v>8.6124701097241996</v>
      </c>
    </row>
    <row r="10" spans="2:26" x14ac:dyDescent="0.15">
      <c r="F10" s="111">
        <v>7</v>
      </c>
      <c r="G10" s="162">
        <v>4.1649414998068304</v>
      </c>
      <c r="H10" s="163">
        <v>4.68127550042471</v>
      </c>
      <c r="I10" s="163">
        <v>5.0600741897318304</v>
      </c>
      <c r="J10" s="163">
        <v>5.3590785656877999</v>
      </c>
      <c r="K10" s="163">
        <v>5.6057213116345999</v>
      </c>
      <c r="L10" s="164">
        <v>5.8153139251743102</v>
      </c>
      <c r="N10" s="111">
        <v>7</v>
      </c>
      <c r="O10" s="162">
        <v>5.9192937840103204</v>
      </c>
      <c r="P10" s="163">
        <v>6.5424412326711501</v>
      </c>
      <c r="Q10" s="163">
        <v>7.0049924573707996</v>
      </c>
      <c r="R10" s="163">
        <v>7.3730119965997201</v>
      </c>
      <c r="S10" s="163">
        <v>7.6783674382907598</v>
      </c>
      <c r="T10" s="164">
        <v>7.93904185906083</v>
      </c>
    </row>
    <row r="11" spans="2:26" x14ac:dyDescent="0.15">
      <c r="B11" s="152"/>
      <c r="C11" s="153" t="s">
        <v>150</v>
      </c>
      <c r="D11" s="93">
        <v>30</v>
      </c>
      <c r="F11" s="111">
        <v>8</v>
      </c>
      <c r="G11" s="162">
        <v>4.0410364719779901</v>
      </c>
      <c r="H11" s="163">
        <v>4.5288096375313502</v>
      </c>
      <c r="I11" s="163">
        <v>4.8857542499084898</v>
      </c>
      <c r="J11" s="163">
        <v>5.1671523414487499</v>
      </c>
      <c r="K11" s="163">
        <v>5.3991207983989398</v>
      </c>
      <c r="L11" s="164">
        <v>5.5961802955561604</v>
      </c>
      <c r="N11" s="111">
        <v>8</v>
      </c>
      <c r="O11" s="162">
        <v>5.6353926624099104</v>
      </c>
      <c r="P11" s="163">
        <v>6.2038349725340698</v>
      </c>
      <c r="Q11" s="163">
        <v>6.6248132047551804</v>
      </c>
      <c r="R11" s="163">
        <v>6.9594226794814</v>
      </c>
      <c r="S11" s="163">
        <v>7.2369487930020799</v>
      </c>
      <c r="T11" s="164">
        <v>7.4738482232513404</v>
      </c>
    </row>
    <row r="12" spans="2:26" x14ac:dyDescent="0.15">
      <c r="B12" s="155"/>
      <c r="C12" s="84" t="s">
        <v>153</v>
      </c>
      <c r="D12" s="94">
        <v>20</v>
      </c>
      <c r="F12" s="111">
        <v>9</v>
      </c>
      <c r="G12" s="162">
        <v>3.9484922022687399</v>
      </c>
      <c r="H12" s="163">
        <v>4.4148901258692801</v>
      </c>
      <c r="I12" s="163">
        <v>4.7554041852460802</v>
      </c>
      <c r="J12" s="163">
        <v>5.0235149808322301</v>
      </c>
      <c r="K12" s="163">
        <v>5.2443743600705197</v>
      </c>
      <c r="L12" s="164">
        <v>5.4319211431990198</v>
      </c>
      <c r="N12" s="111">
        <v>9</v>
      </c>
      <c r="O12" s="162">
        <v>5.4280428042580597</v>
      </c>
      <c r="P12" s="163">
        <v>5.95668226228418</v>
      </c>
      <c r="Q12" s="163">
        <v>6.3472994117877697</v>
      </c>
      <c r="R12" s="163">
        <v>6.6574300796249304</v>
      </c>
      <c r="S12" s="163">
        <v>6.9145108564067801</v>
      </c>
      <c r="T12" s="164">
        <v>7.1339033662035698</v>
      </c>
    </row>
    <row r="13" spans="2:26" x14ac:dyDescent="0.15">
      <c r="B13" s="155"/>
      <c r="C13" s="84" t="s">
        <v>176</v>
      </c>
      <c r="D13" s="94">
        <v>10</v>
      </c>
      <c r="F13" s="111">
        <v>10</v>
      </c>
      <c r="G13" s="162">
        <v>3.8767767491915599</v>
      </c>
      <c r="H13" s="163">
        <v>4.3265821158506501</v>
      </c>
      <c r="I13" s="163">
        <v>4.6542930755433396</v>
      </c>
      <c r="J13" s="163">
        <v>4.9120157548378396</v>
      </c>
      <c r="K13" s="163">
        <v>5.1241660952876904</v>
      </c>
      <c r="L13" s="164">
        <v>5.3042381004060699</v>
      </c>
      <c r="N13" s="111">
        <v>10</v>
      </c>
      <c r="O13" s="162">
        <v>5.2701615370333101</v>
      </c>
      <c r="P13" s="163">
        <v>5.7685914356915697</v>
      </c>
      <c r="Q13" s="163">
        <v>6.1360933126621902</v>
      </c>
      <c r="R13" s="163">
        <v>6.42753554883351</v>
      </c>
      <c r="S13" s="163">
        <v>6.6689697444278897</v>
      </c>
      <c r="T13" s="164">
        <v>6.8749368002712998</v>
      </c>
    </row>
    <row r="14" spans="2:26" x14ac:dyDescent="0.15">
      <c r="B14" s="155"/>
      <c r="C14" s="84" t="s">
        <v>177</v>
      </c>
      <c r="D14" s="94"/>
      <c r="F14" s="111">
        <v>11</v>
      </c>
      <c r="G14" s="162">
        <v>3.8195882700435502</v>
      </c>
      <c r="H14" s="163">
        <v>4.2561433554073798</v>
      </c>
      <c r="I14" s="163">
        <v>4.5735962543144302</v>
      </c>
      <c r="J14" s="163">
        <v>4.8229724324141197</v>
      </c>
      <c r="K14" s="163">
        <v>5.0281080175771802</v>
      </c>
      <c r="L14" s="164">
        <v>5.2021469714025796</v>
      </c>
      <c r="N14" s="111">
        <v>11</v>
      </c>
      <c r="O14" s="162">
        <v>5.1460336006239</v>
      </c>
      <c r="P14" s="163">
        <v>5.6207784213979801</v>
      </c>
      <c r="Q14" s="163">
        <v>5.9701100130412001</v>
      </c>
      <c r="R14" s="163">
        <v>6.24682661353099</v>
      </c>
      <c r="S14" s="163">
        <v>6.4759060604997698</v>
      </c>
      <c r="T14" s="164">
        <v>6.6712527142817697</v>
      </c>
      <c r="Z14" s="3"/>
    </row>
    <row r="15" spans="2:26" x14ac:dyDescent="0.15">
      <c r="B15" s="155"/>
      <c r="C15" s="84" t="s">
        <v>178</v>
      </c>
      <c r="D15" s="94"/>
      <c r="F15" s="111">
        <v>12</v>
      </c>
      <c r="G15" s="162">
        <v>3.7729289594083499</v>
      </c>
      <c r="H15" s="163">
        <v>4.1986602299666904</v>
      </c>
      <c r="I15" s="163">
        <v>4.5077099196570396</v>
      </c>
      <c r="J15" s="163">
        <v>4.7502314467948397</v>
      </c>
      <c r="K15" s="163">
        <v>4.9495941101177303</v>
      </c>
      <c r="L15" s="164">
        <v>5.1186584641559998</v>
      </c>
      <c r="N15" s="111">
        <v>12</v>
      </c>
      <c r="O15" s="162">
        <v>5.04593430310904</v>
      </c>
      <c r="P15" s="163">
        <v>5.5016263000043999</v>
      </c>
      <c r="Q15" s="163">
        <v>5.8363083557708002</v>
      </c>
      <c r="R15" s="163">
        <v>6.1011282223849603</v>
      </c>
      <c r="S15" s="163">
        <v>6.3202078532184602</v>
      </c>
      <c r="T15" s="164">
        <v>6.5069446691610402</v>
      </c>
      <c r="Z15" s="3"/>
    </row>
    <row r="16" spans="2:26" x14ac:dyDescent="0.15">
      <c r="B16" s="155"/>
      <c r="C16" s="84" t="s">
        <v>179</v>
      </c>
      <c r="D16" s="94"/>
      <c r="F16" s="111">
        <v>13</v>
      </c>
      <c r="G16" s="162">
        <v>3.7341419850526201</v>
      </c>
      <c r="H16" s="163">
        <v>4.1508662933683302</v>
      </c>
      <c r="I16" s="163">
        <v>4.4529061236995098</v>
      </c>
      <c r="J16" s="163">
        <v>4.6896970958952799</v>
      </c>
      <c r="K16" s="163">
        <v>4.88422387628958</v>
      </c>
      <c r="L16" s="164">
        <v>5.0491145422824397</v>
      </c>
      <c r="N16" s="111">
        <v>13</v>
      </c>
      <c r="O16" s="162">
        <v>4.9635343537812302</v>
      </c>
      <c r="P16" s="163">
        <v>5.4035756913666502</v>
      </c>
      <c r="Q16" s="163">
        <v>5.7262017730378902</v>
      </c>
      <c r="R16" s="163">
        <v>5.9812138300227504</v>
      </c>
      <c r="S16" s="163">
        <v>6.1920362130068201</v>
      </c>
      <c r="T16" s="164">
        <v>6.3716526844707202</v>
      </c>
    </row>
    <row r="17" spans="2:20" x14ac:dyDescent="0.15">
      <c r="B17" s="155"/>
      <c r="C17" s="84" t="s">
        <v>180</v>
      </c>
      <c r="D17" s="94"/>
      <c r="F17" s="111">
        <v>14</v>
      </c>
      <c r="G17" s="162">
        <v>3.70139357296308</v>
      </c>
      <c r="H17" s="163">
        <v>4.11050635006979</v>
      </c>
      <c r="I17" s="163">
        <v>4.4066096038339602</v>
      </c>
      <c r="J17" s="163">
        <v>4.6385379955261499</v>
      </c>
      <c r="K17" s="163">
        <v>4.8289544216932896</v>
      </c>
      <c r="L17" s="164">
        <v>4.9902920208629604</v>
      </c>
      <c r="N17" s="111">
        <v>14</v>
      </c>
      <c r="O17" s="162">
        <v>4.8945385262618002</v>
      </c>
      <c r="P17" s="163">
        <v>5.3215007822307996</v>
      </c>
      <c r="Q17" s="163">
        <v>5.6340357973450699</v>
      </c>
      <c r="R17" s="163">
        <v>5.8808258888202101</v>
      </c>
      <c r="S17" s="163">
        <v>6.0847152309986496</v>
      </c>
      <c r="T17" s="164">
        <v>6.2583459999381601</v>
      </c>
    </row>
    <row r="18" spans="2:20" ht="14" thickBot="1" x14ac:dyDescent="0.2">
      <c r="B18" s="155"/>
      <c r="C18" s="84" t="s">
        <v>181</v>
      </c>
      <c r="D18" s="94"/>
      <c r="F18" s="111">
        <v>15</v>
      </c>
      <c r="G18" s="162">
        <v>3.6733776249744601</v>
      </c>
      <c r="H18" s="163">
        <v>4.0759737224295201</v>
      </c>
      <c r="I18" s="163">
        <v>4.36698468749168</v>
      </c>
      <c r="J18" s="163">
        <v>4.59473483077858</v>
      </c>
      <c r="K18" s="163">
        <v>4.7816139233862804</v>
      </c>
      <c r="L18" s="164">
        <v>4.9398895968971299</v>
      </c>
      <c r="N18" s="111">
        <v>15</v>
      </c>
      <c r="O18" s="162">
        <v>4.8359341208823201</v>
      </c>
      <c r="P18" s="163">
        <v>5.2518067748036703</v>
      </c>
      <c r="Q18" s="163">
        <v>5.55577338344259</v>
      </c>
      <c r="R18" s="163">
        <v>5.7955717686227803</v>
      </c>
      <c r="S18" s="163">
        <v>5.9935598578466598</v>
      </c>
      <c r="T18" s="164">
        <v>6.16208930436032</v>
      </c>
    </row>
    <row r="19" spans="2:20" ht="14" thickBot="1" x14ac:dyDescent="0.2">
      <c r="B19" s="160"/>
      <c r="C19" s="161" t="s">
        <v>182</v>
      </c>
      <c r="D19" s="165">
        <f>HARMEAN(D11:D18)</f>
        <v>16.363636363636363</v>
      </c>
      <c r="F19" s="111">
        <v>16</v>
      </c>
      <c r="G19" s="162">
        <v>3.6491388851648199</v>
      </c>
      <c r="H19" s="163">
        <v>4.0460930367879602</v>
      </c>
      <c r="I19" s="163">
        <v>4.3326878337994197</v>
      </c>
      <c r="J19" s="163">
        <v>4.5568088827600697</v>
      </c>
      <c r="K19" s="163">
        <v>4.7406112890565302</v>
      </c>
      <c r="L19" s="164">
        <v>4.8962204647843404</v>
      </c>
      <c r="N19" s="111">
        <v>16</v>
      </c>
      <c r="O19" s="162">
        <v>4.7855451844016299</v>
      </c>
      <c r="P19" s="163">
        <v>5.1918981714708199</v>
      </c>
      <c r="Q19" s="163">
        <v>5.4885004576800904</v>
      </c>
      <c r="R19" s="163">
        <v>5.7222830351608502</v>
      </c>
      <c r="S19" s="163">
        <v>5.9151867239728704</v>
      </c>
      <c r="T19" s="164">
        <v>6.0793166569907999</v>
      </c>
    </row>
    <row r="20" spans="2:20" x14ac:dyDescent="0.15">
      <c r="F20" s="111">
        <v>17</v>
      </c>
      <c r="G20" s="162">
        <v>3.6279626791445798</v>
      </c>
      <c r="H20" s="163">
        <v>4.0199847490121003</v>
      </c>
      <c r="I20" s="163">
        <v>4.3027132173969997</v>
      </c>
      <c r="J20" s="163">
        <v>4.5236525967429104</v>
      </c>
      <c r="K20" s="163">
        <v>4.7047542440167502</v>
      </c>
      <c r="L20" s="164">
        <v>4.8580200824956803</v>
      </c>
      <c r="N20" s="111">
        <v>17</v>
      </c>
      <c r="O20" s="162">
        <v>4.7417626269321804</v>
      </c>
      <c r="P20" s="163">
        <v>5.1398560643389697</v>
      </c>
      <c r="Q20" s="163">
        <v>5.4300619763059199</v>
      </c>
      <c r="R20" s="163">
        <v>5.6586136057879699</v>
      </c>
      <c r="S20" s="163">
        <v>5.8470922001268004</v>
      </c>
      <c r="T20" s="164">
        <v>6.0073894949196296</v>
      </c>
    </row>
    <row r="21" spans="2:20" x14ac:dyDescent="0.15">
      <c r="F21" s="111">
        <v>18</v>
      </c>
      <c r="G21" s="162">
        <v>3.6093037379839399</v>
      </c>
      <c r="H21" s="163">
        <v>3.99697767059605</v>
      </c>
      <c r="I21" s="163">
        <v>4.2762929766449398</v>
      </c>
      <c r="J21" s="163">
        <v>4.4944200764514699</v>
      </c>
      <c r="K21" s="163">
        <v>4.6731317948983104</v>
      </c>
      <c r="L21" s="164">
        <v>4.8243218492863704</v>
      </c>
      <c r="N21" s="111">
        <v>18</v>
      </c>
      <c r="O21" s="162">
        <v>4.7033704814344404</v>
      </c>
      <c r="P21" s="163">
        <v>5.0942309505558603</v>
      </c>
      <c r="Q21" s="163">
        <v>5.3788302091915901</v>
      </c>
      <c r="R21" s="163">
        <v>5.6027925238248804</v>
      </c>
      <c r="S21" s="163">
        <v>5.7873851267024703</v>
      </c>
      <c r="T21" s="164">
        <v>5.9443138979236396</v>
      </c>
    </row>
    <row r="22" spans="2:20" x14ac:dyDescent="0.15">
      <c r="F22" s="111">
        <v>19</v>
      </c>
      <c r="G22" s="162">
        <v>3.5927388577774702</v>
      </c>
      <c r="H22" s="163">
        <v>3.9765507749509599</v>
      </c>
      <c r="I22" s="163">
        <v>4.2528308219230704</v>
      </c>
      <c r="J22" s="163">
        <v>4.4684541664110604</v>
      </c>
      <c r="K22" s="163">
        <v>4.6450359307581799</v>
      </c>
      <c r="L22" s="164">
        <v>4.7943742539320899</v>
      </c>
      <c r="N22" s="111">
        <v>19</v>
      </c>
      <c r="O22" s="162">
        <v>4.6694333734547797</v>
      </c>
      <c r="P22" s="163">
        <v>5.0539080561801502</v>
      </c>
      <c r="Q22" s="163">
        <v>5.33355321673685</v>
      </c>
      <c r="R22" s="163">
        <v>5.5534569363048698</v>
      </c>
      <c r="S22" s="163">
        <v>5.7346101511215304</v>
      </c>
      <c r="T22" s="164">
        <v>5.8885552626535098</v>
      </c>
    </row>
    <row r="23" spans="2:20" x14ac:dyDescent="0.15">
      <c r="F23" s="111">
        <v>20</v>
      </c>
      <c r="G23" s="162">
        <v>3.5779345815255699</v>
      </c>
      <c r="H23" s="163">
        <v>3.9582934614503902</v>
      </c>
      <c r="I23" s="163">
        <v>4.2318566829303599</v>
      </c>
      <c r="J23" s="163">
        <v>4.4452366193223103</v>
      </c>
      <c r="K23" s="163">
        <v>4.6199080907083303</v>
      </c>
      <c r="L23" s="164">
        <v>4.7675842085458804</v>
      </c>
      <c r="N23" s="111">
        <v>20</v>
      </c>
      <c r="O23" s="162">
        <v>4.6392200778495098</v>
      </c>
      <c r="P23" s="163">
        <v>5.0180161238953902</v>
      </c>
      <c r="Q23" s="163">
        <v>5.2932525116882596</v>
      </c>
      <c r="R23" s="163">
        <v>5.5095416495658203</v>
      </c>
      <c r="S23" s="163">
        <v>5.6876295105768602</v>
      </c>
      <c r="T23" s="164">
        <v>5.8389136016811598</v>
      </c>
    </row>
    <row r="24" spans="2:20" x14ac:dyDescent="0.15">
      <c r="F24" s="111">
        <v>21</v>
      </c>
      <c r="G24" s="162">
        <v>3.56462462505689</v>
      </c>
      <c r="H24" s="163">
        <v>3.9418777945011301</v>
      </c>
      <c r="I24" s="163">
        <v>4.2129950112288297</v>
      </c>
      <c r="J24" s="163">
        <v>4.4243532528379603</v>
      </c>
      <c r="K24" s="163">
        <v>4.5973017191943004</v>
      </c>
      <c r="L24" s="164">
        <v>4.7434773976564797</v>
      </c>
      <c r="N24" s="111">
        <v>21</v>
      </c>
      <c r="O24" s="162">
        <v>4.6121507989173898</v>
      </c>
      <c r="P24" s="163">
        <v>4.9858644829963801</v>
      </c>
      <c r="Q24" s="163">
        <v>5.2571524022208003</v>
      </c>
      <c r="R24" s="163">
        <v>5.4702021330194697</v>
      </c>
      <c r="S24" s="163">
        <v>5.6455409914569996</v>
      </c>
      <c r="T24" s="164">
        <v>5.7944371882732897</v>
      </c>
    </row>
    <row r="25" spans="2:20" x14ac:dyDescent="0.15">
      <c r="F25" s="111">
        <v>22</v>
      </c>
      <c r="G25" s="162">
        <v>3.5525937856666201</v>
      </c>
      <c r="H25" s="163">
        <v>3.92703871119974</v>
      </c>
      <c r="I25" s="163">
        <v>4.1959421729999198</v>
      </c>
      <c r="J25" s="163">
        <v>4.4054690891267798</v>
      </c>
      <c r="K25" s="163">
        <v>4.5768555390936703</v>
      </c>
      <c r="L25" s="164">
        <v>4.72166996688222</v>
      </c>
      <c r="N25" s="111">
        <v>22</v>
      </c>
      <c r="O25" s="162">
        <v>4.5877599619839904</v>
      </c>
      <c r="P25" s="163">
        <v>4.9568986455291002</v>
      </c>
      <c r="Q25" s="163">
        <v>5.2246301330983496</v>
      </c>
      <c r="R25" s="163">
        <v>5.4347602905689598</v>
      </c>
      <c r="S25" s="163">
        <v>5.6076200737236803</v>
      </c>
      <c r="T25" s="164">
        <v>5.7543616142991798</v>
      </c>
    </row>
    <row r="26" spans="2:20" x14ac:dyDescent="0.15">
      <c r="F26" s="111">
        <v>23</v>
      </c>
      <c r="G26" s="162">
        <v>3.5416662620193402</v>
      </c>
      <c r="H26" s="163">
        <v>3.91355965235948</v>
      </c>
      <c r="I26" s="163">
        <v>4.1804500308235104</v>
      </c>
      <c r="J26" s="163">
        <v>4.3883102933244897</v>
      </c>
      <c r="K26" s="163">
        <v>4.5582741274531804</v>
      </c>
      <c r="L26" s="164">
        <v>4.7018479403997304</v>
      </c>
      <c r="N26" s="111">
        <v>23</v>
      </c>
      <c r="O26" s="162">
        <v>4.5656694474894399</v>
      </c>
      <c r="P26" s="163">
        <v>4.9306683714649102</v>
      </c>
      <c r="Q26" s="163">
        <v>5.1951800259337899</v>
      </c>
      <c r="R26" s="163">
        <v>5.4026654522332498</v>
      </c>
      <c r="S26" s="163">
        <v>5.5732783061942701</v>
      </c>
      <c r="T26" s="164">
        <v>5.7180659358829997</v>
      </c>
    </row>
    <row r="27" spans="2:20" x14ac:dyDescent="0.15">
      <c r="F27" s="111">
        <v>24</v>
      </c>
      <c r="G27" s="162">
        <v>3.5316973138649499</v>
      </c>
      <c r="H27" s="163">
        <v>3.9012619597785201</v>
      </c>
      <c r="I27" s="163">
        <v>4.1663138249005502</v>
      </c>
      <c r="J27" s="163">
        <v>4.3726508371704602</v>
      </c>
      <c r="K27" s="163">
        <v>4.5413135679257204</v>
      </c>
      <c r="L27" s="164">
        <v>4.6837520130576102</v>
      </c>
      <c r="N27" s="111">
        <v>24</v>
      </c>
      <c r="O27" s="162">
        <v>4.5455690052311004</v>
      </c>
      <c r="P27" s="163">
        <v>4.9068043056669097</v>
      </c>
      <c r="Q27" s="163">
        <v>5.1683872435073601</v>
      </c>
      <c r="R27" s="163">
        <v>5.3734658309005896</v>
      </c>
      <c r="S27" s="163">
        <v>5.5420328435515698</v>
      </c>
      <c r="T27" s="164">
        <v>5.6850405737045397</v>
      </c>
    </row>
    <row r="28" spans="2:20" x14ac:dyDescent="0.15">
      <c r="F28" s="111">
        <v>25</v>
      </c>
      <c r="G28" s="162">
        <v>3.5225657399146302</v>
      </c>
      <c r="H28" s="163">
        <v>3.88999721679712</v>
      </c>
      <c r="I28" s="163">
        <v>4.1533630956537104</v>
      </c>
      <c r="J28" s="163">
        <v>4.3583025062421799</v>
      </c>
      <c r="K28" s="163">
        <v>4.5257706968702802</v>
      </c>
      <c r="L28" s="164">
        <v>4.6671661482137896</v>
      </c>
      <c r="N28" s="111">
        <v>25</v>
      </c>
      <c r="O28" s="162">
        <v>4.5272017002604201</v>
      </c>
      <c r="P28" s="163">
        <v>4.88500062039056</v>
      </c>
      <c r="Q28" s="163">
        <v>5.1439082973041304</v>
      </c>
      <c r="R28" s="163">
        <v>5.3467873126681997</v>
      </c>
      <c r="S28" s="163">
        <v>5.5134838065123901</v>
      </c>
      <c r="T28" s="164">
        <v>5.6548634519419796</v>
      </c>
    </row>
    <row r="29" spans="2:20" x14ac:dyDescent="0.15">
      <c r="F29" s="111">
        <v>26</v>
      </c>
      <c r="G29" s="162">
        <v>3.5141705332204398</v>
      </c>
      <c r="H29" s="163">
        <v>3.8796401495471899</v>
      </c>
      <c r="I29" s="163">
        <v>4.1414550752500299</v>
      </c>
      <c r="J29" s="163">
        <v>4.3451073123193202</v>
      </c>
      <c r="K29" s="163">
        <v>4.51147493526536</v>
      </c>
      <c r="L29" s="164">
        <v>4.6519089147748502</v>
      </c>
      <c r="N29" s="111">
        <v>26</v>
      </c>
      <c r="O29" s="162">
        <v>4.5103529458129001</v>
      </c>
      <c r="P29" s="163">
        <v>4.8650019382751699</v>
      </c>
      <c r="Q29" s="163">
        <v>5.1214563615352597</v>
      </c>
      <c r="R29" s="163">
        <v>5.3223174751887399</v>
      </c>
      <c r="S29" s="163">
        <v>5.4872972199388901</v>
      </c>
      <c r="T29" s="164">
        <v>5.62718232043086</v>
      </c>
    </row>
    <row r="30" spans="2:20" x14ac:dyDescent="0.15">
      <c r="F30" s="111">
        <v>27</v>
      </c>
      <c r="G30" s="162">
        <v>3.5064261233926901</v>
      </c>
      <c r="H30" s="163">
        <v>3.8700855435774502</v>
      </c>
      <c r="I30" s="163">
        <v>4.1304683175571499</v>
      </c>
      <c r="J30" s="163">
        <v>4.3329319555115999</v>
      </c>
      <c r="K30" s="163">
        <v>4.4982820091201203</v>
      </c>
      <c r="L30" s="164">
        <v>4.6378268253202801</v>
      </c>
      <c r="N30" s="111">
        <v>27</v>
      </c>
      <c r="O30" s="162">
        <v>4.4948421335716997</v>
      </c>
      <c r="P30" s="163">
        <v>4.8465933542014596</v>
      </c>
      <c r="Q30" s="163">
        <v>5.1007903885672201</v>
      </c>
      <c r="R30" s="163">
        <v>5.2997937782782998</v>
      </c>
      <c r="S30" s="163">
        <v>5.4631924250711403</v>
      </c>
      <c r="T30" s="164">
        <v>5.6016999623469896</v>
      </c>
    </row>
    <row r="31" spans="2:20" x14ac:dyDescent="0.15">
      <c r="F31" s="111">
        <v>28</v>
      </c>
      <c r="G31" s="162">
        <v>3.4992596976038701</v>
      </c>
      <c r="H31" s="163">
        <v>3.8612436616122401</v>
      </c>
      <c r="I31" s="163">
        <v>4.12030012502471</v>
      </c>
      <c r="J31" s="163">
        <v>4.3216621748825697</v>
      </c>
      <c r="K31" s="163">
        <v>4.4860693854720504</v>
      </c>
      <c r="L31" s="164">
        <v>4.6247894450957299</v>
      </c>
      <c r="N31" s="111">
        <v>28</v>
      </c>
      <c r="O31" s="162">
        <v>4.4805161715272304</v>
      </c>
      <c r="P31" s="163">
        <v>4.8295930428891802</v>
      </c>
      <c r="Q31" s="163">
        <v>5.0817052935126297</v>
      </c>
      <c r="R31" s="163">
        <v>5.2789927600164601</v>
      </c>
      <c r="S31" s="163">
        <v>5.4409304779258401</v>
      </c>
      <c r="T31" s="164">
        <v>5.5781649976315402</v>
      </c>
    </row>
    <row r="32" spans="2:20" x14ac:dyDescent="0.15">
      <c r="F32" s="111">
        <v>29</v>
      </c>
      <c r="G32" s="162">
        <v>3.4926089095369899</v>
      </c>
      <c r="H32" s="163">
        <v>3.85303765976913</v>
      </c>
      <c r="I32" s="163">
        <v>4.1108623396916002</v>
      </c>
      <c r="J32" s="163">
        <v>4.3112007851882401</v>
      </c>
      <c r="K32" s="163">
        <v>4.4747312333259002</v>
      </c>
      <c r="L32" s="164">
        <v>4.6126842318792702</v>
      </c>
      <c r="N32" s="111">
        <v>29</v>
      </c>
      <c r="O32" s="162">
        <v>4.4672444412118999</v>
      </c>
      <c r="P32" s="163">
        <v>4.8138451036806504</v>
      </c>
      <c r="Q32" s="163">
        <v>5.0640267970802402</v>
      </c>
      <c r="R32" s="163">
        <v>5.2597245733331901</v>
      </c>
      <c r="S32" s="163">
        <v>5.4203083875053801</v>
      </c>
      <c r="T32" s="164">
        <v>5.5563627686716996</v>
      </c>
    </row>
    <row r="33" spans="6:20" x14ac:dyDescent="0.15">
      <c r="F33" s="111">
        <v>30</v>
      </c>
      <c r="G33" s="162">
        <v>3.4864200647663699</v>
      </c>
      <c r="H33" s="163">
        <v>3.8454013531276199</v>
      </c>
      <c r="I33" s="163">
        <v>4.1020790196217298</v>
      </c>
      <c r="J33" s="163">
        <v>4.3014638440839503</v>
      </c>
      <c r="K33" s="163">
        <v>4.4641771028795203</v>
      </c>
      <c r="L33" s="164">
        <v>4.6014148566203303</v>
      </c>
      <c r="N33" s="111">
        <v>30</v>
      </c>
      <c r="O33" s="162">
        <v>4.4549148237340299</v>
      </c>
      <c r="P33" s="163">
        <v>4.7992164175299701</v>
      </c>
      <c r="Q33" s="163">
        <v>5.0476051320698199</v>
      </c>
      <c r="R33" s="163">
        <v>5.24182604903657</v>
      </c>
      <c r="S33" s="163">
        <v>5.4011516679802298</v>
      </c>
      <c r="T33" s="164">
        <v>5.5361090071280703</v>
      </c>
    </row>
    <row r="34" spans="6:20" x14ac:dyDescent="0.15">
      <c r="F34" s="111">
        <v>32</v>
      </c>
      <c r="G34" s="162">
        <v>3.4752482695208902</v>
      </c>
      <c r="H34" s="163">
        <v>3.83161601479144</v>
      </c>
      <c r="I34" s="163">
        <v>4.0862212181834803</v>
      </c>
      <c r="J34" s="163">
        <v>4.2838818721900802</v>
      </c>
      <c r="K34" s="163">
        <v>4.4451167153932198</v>
      </c>
      <c r="L34" s="164">
        <v>4.5810597347100304</v>
      </c>
      <c r="N34" s="111">
        <v>32</v>
      </c>
      <c r="O34" s="162">
        <v>4.4327079620485303</v>
      </c>
      <c r="P34" s="163">
        <v>4.7728716824583897</v>
      </c>
      <c r="Q34" s="163">
        <v>5.0180323799633904</v>
      </c>
      <c r="R34" s="163">
        <v>5.2095933065771201</v>
      </c>
      <c r="S34" s="163">
        <v>5.3666518337225204</v>
      </c>
      <c r="T34" s="164">
        <v>5.4996316569559101</v>
      </c>
    </row>
    <row r="35" spans="6:20" x14ac:dyDescent="0.15">
      <c r="F35" s="111">
        <v>34</v>
      </c>
      <c r="G35" s="162">
        <v>3.4654392680145998</v>
      </c>
      <c r="H35" s="163">
        <v>3.8195115851908201</v>
      </c>
      <c r="I35" s="163">
        <v>4.0722950700203402</v>
      </c>
      <c r="J35" s="163">
        <v>4.2684389392233397</v>
      </c>
      <c r="K35" s="163">
        <v>4.4283722051370402</v>
      </c>
      <c r="L35" s="164">
        <v>4.5631745465429798</v>
      </c>
      <c r="N35" s="111">
        <v>34</v>
      </c>
      <c r="O35" s="162">
        <v>4.4132625452221497</v>
      </c>
      <c r="P35" s="163">
        <v>4.7498068147319898</v>
      </c>
      <c r="Q35" s="163">
        <v>4.9921424518176396</v>
      </c>
      <c r="R35" s="163">
        <v>5.1813742775256602</v>
      </c>
      <c r="S35" s="163">
        <v>5.3364467367940502</v>
      </c>
      <c r="T35" s="164">
        <v>5.4676933274714603</v>
      </c>
    </row>
    <row r="36" spans="6:20" x14ac:dyDescent="0.15">
      <c r="F36" s="111">
        <v>36</v>
      </c>
      <c r="G36" s="162">
        <v>3.4567581092558299</v>
      </c>
      <c r="H36" s="163">
        <v>3.8087983814345598</v>
      </c>
      <c r="I36" s="163">
        <v>4.0599679854605402</v>
      </c>
      <c r="J36" s="163">
        <v>4.2547671546301098</v>
      </c>
      <c r="K36" s="163">
        <v>4.4135457295924496</v>
      </c>
      <c r="L36" s="164">
        <v>4.5473354772032497</v>
      </c>
      <c r="N36" s="111">
        <v>36</v>
      </c>
      <c r="O36" s="162">
        <v>4.3960941724839904</v>
      </c>
      <c r="P36" s="163">
        <v>4.7294457196132003</v>
      </c>
      <c r="Q36" s="163">
        <v>4.9692883608661704</v>
      </c>
      <c r="R36" s="163">
        <v>5.1564639603562297</v>
      </c>
      <c r="S36" s="163">
        <v>5.3097822709278004</v>
      </c>
      <c r="T36" s="164">
        <v>5.4394973682517103</v>
      </c>
    </row>
    <row r="37" spans="6:20" x14ac:dyDescent="0.15">
      <c r="F37" s="111">
        <v>38</v>
      </c>
      <c r="G37" s="162">
        <v>3.4490209015394599</v>
      </c>
      <c r="H37" s="163">
        <v>3.7992496514546898</v>
      </c>
      <c r="I37" s="163">
        <v>4.0489795665020303</v>
      </c>
      <c r="J37" s="163">
        <v>4.2425784028015503</v>
      </c>
      <c r="K37" s="163">
        <v>4.40032562700378</v>
      </c>
      <c r="L37" s="164">
        <v>4.5332104246579998</v>
      </c>
      <c r="N37" s="111">
        <v>38</v>
      </c>
      <c r="O37" s="162">
        <v>4.3808252671575998</v>
      </c>
      <c r="P37" s="163">
        <v>4.7113396615863197</v>
      </c>
      <c r="Q37" s="163">
        <v>4.9489661658325703</v>
      </c>
      <c r="R37" s="163">
        <v>5.1343131942268503</v>
      </c>
      <c r="S37" s="163">
        <v>5.2860709660527796</v>
      </c>
      <c r="T37" s="164">
        <v>5.41442308956979</v>
      </c>
    </row>
    <row r="38" spans="6:20" x14ac:dyDescent="0.15">
      <c r="F38" s="111">
        <v>40</v>
      </c>
      <c r="G38" s="162">
        <v>3.44208166021525</v>
      </c>
      <c r="H38" s="163">
        <v>3.7906853692651001</v>
      </c>
      <c r="I38" s="163">
        <v>4.0391230315137898</v>
      </c>
      <c r="J38" s="163">
        <v>4.2316438348188603</v>
      </c>
      <c r="K38" s="163">
        <v>4.3884642817600499</v>
      </c>
      <c r="L38" s="164">
        <v>4.5205354655446497</v>
      </c>
      <c r="N38" s="111">
        <v>40</v>
      </c>
      <c r="O38" s="162">
        <v>4.3671573118839904</v>
      </c>
      <c r="P38" s="163">
        <v>4.6951339344856002</v>
      </c>
      <c r="Q38" s="163">
        <v>4.9307775343838696</v>
      </c>
      <c r="R38" s="163">
        <v>5.1144878828675298</v>
      </c>
      <c r="S38" s="163">
        <v>5.2648484028812099</v>
      </c>
      <c r="T38" s="164">
        <v>5.3919797573004704</v>
      </c>
    </row>
    <row r="39" spans="6:20" x14ac:dyDescent="0.15">
      <c r="F39" s="111">
        <v>42</v>
      </c>
      <c r="G39" s="162">
        <v>3.4358230208631699</v>
      </c>
      <c r="H39" s="163">
        <v>3.7829607912638301</v>
      </c>
      <c r="I39" s="163">
        <v>4.0302320936303699</v>
      </c>
      <c r="J39" s="163">
        <v>4.2217793766428997</v>
      </c>
      <c r="K39" s="163">
        <v>4.3777624779673898</v>
      </c>
      <c r="L39" s="164">
        <v>4.5090982139256299</v>
      </c>
      <c r="N39" s="111">
        <v>42</v>
      </c>
      <c r="O39" s="162">
        <v>4.3548511957286102</v>
      </c>
      <c r="P39" s="163">
        <v>4.6805444724190499</v>
      </c>
      <c r="Q39" s="163">
        <v>4.9144034722693704</v>
      </c>
      <c r="R39" s="163">
        <v>5.0966403774230598</v>
      </c>
      <c r="S39" s="163">
        <v>5.24574261973713</v>
      </c>
      <c r="T39" s="164">
        <v>5.3717742959651096</v>
      </c>
    </row>
    <row r="40" spans="6:20" x14ac:dyDescent="0.15">
      <c r="F40" s="111">
        <v>44</v>
      </c>
      <c r="G40" s="162">
        <v>3.4301495546391898</v>
      </c>
      <c r="H40" s="163">
        <v>3.7759582180932498</v>
      </c>
      <c r="I40" s="163">
        <v>4.0221715123038804</v>
      </c>
      <c r="J40" s="163">
        <v>4.2128352907686004</v>
      </c>
      <c r="K40" s="163">
        <v>4.3680581259114302</v>
      </c>
      <c r="L40" s="164">
        <v>4.4987258272926098</v>
      </c>
      <c r="N40" s="111">
        <v>44</v>
      </c>
      <c r="O40" s="162">
        <v>4.3437131435954299</v>
      </c>
      <c r="P40" s="163">
        <v>4.66734110787222</v>
      </c>
      <c r="Q40" s="163">
        <v>4.8995855187715502</v>
      </c>
      <c r="R40" s="163">
        <v>5.0804889906931203</v>
      </c>
      <c r="S40" s="163">
        <v>5.2284522094250496</v>
      </c>
      <c r="T40" s="164">
        <v>5.3534881622939201</v>
      </c>
    </row>
    <row r="41" spans="6:20" x14ac:dyDescent="0.15">
      <c r="F41" s="111">
        <v>46</v>
      </c>
      <c r="G41" s="162">
        <v>3.4249828732347698</v>
      </c>
      <c r="H41" s="163">
        <v>3.76958096136886</v>
      </c>
      <c r="I41" s="163">
        <v>4.0148301719676303</v>
      </c>
      <c r="J41" s="163">
        <v>4.2046885276433104</v>
      </c>
      <c r="K41" s="163">
        <v>4.3592179991148701</v>
      </c>
      <c r="L41" s="164">
        <v>4.4892762130745103</v>
      </c>
      <c r="N41" s="111">
        <v>46</v>
      </c>
      <c r="O41" s="162">
        <v>4.3335844623659296</v>
      </c>
      <c r="P41" s="163">
        <v>4.6553353736095797</v>
      </c>
      <c r="Q41" s="163">
        <v>4.8861120459013403</v>
      </c>
      <c r="R41" s="163">
        <v>5.06580307029901</v>
      </c>
      <c r="S41" s="163">
        <v>5.2127303577833404</v>
      </c>
      <c r="T41" s="164">
        <v>5.3368604900147201</v>
      </c>
    </row>
    <row r="42" spans="6:20" x14ac:dyDescent="0.15">
      <c r="F42" s="111">
        <v>48</v>
      </c>
      <c r="G42" s="162">
        <v>3.42025798844461</v>
      </c>
      <c r="H42" s="163">
        <v>3.7637488563112398</v>
      </c>
      <c r="I42" s="163">
        <v>4.0081159330296403</v>
      </c>
      <c r="J42" s="163">
        <v>4.1972370341649299</v>
      </c>
      <c r="K42" s="163">
        <v>4.35113158403691</v>
      </c>
      <c r="L42" s="164">
        <v>4.48063148172041</v>
      </c>
      <c r="N42" s="111">
        <v>48</v>
      </c>
      <c r="O42" s="162">
        <v>4.3243339485677597</v>
      </c>
      <c r="P42" s="163">
        <v>4.6443714724640799</v>
      </c>
      <c r="Q42" s="163">
        <v>4.8738081158689299</v>
      </c>
      <c r="R42" s="163">
        <v>5.0523919478147201</v>
      </c>
      <c r="S42" s="163">
        <v>5.19837302561975</v>
      </c>
      <c r="T42" s="164">
        <v>5.3216756084830497</v>
      </c>
    </row>
    <row r="43" spans="6:20" x14ac:dyDescent="0.15">
      <c r="F43" s="111">
        <v>50</v>
      </c>
      <c r="G43" s="162">
        <v>3.4159205666046102</v>
      </c>
      <c r="H43" s="163">
        <v>3.75839487714053</v>
      </c>
      <c r="I43" s="163">
        <v>4.0019517474445498</v>
      </c>
      <c r="J43" s="163">
        <v>4.1903954589736898</v>
      </c>
      <c r="K43" s="163">
        <v>4.3437064380211998</v>
      </c>
      <c r="L43" s="164">
        <v>4.47269300409266</v>
      </c>
      <c r="N43" s="111">
        <v>50</v>
      </c>
      <c r="O43" s="162">
        <v>4.3158521852346299</v>
      </c>
      <c r="P43" s="163">
        <v>4.63431949531559</v>
      </c>
      <c r="Q43" s="163">
        <v>4.8625278637917004</v>
      </c>
      <c r="R43" s="163">
        <v>5.0400966388175998</v>
      </c>
      <c r="S43" s="163">
        <v>5.1852100717172203</v>
      </c>
      <c r="T43" s="164">
        <v>5.3077536664025304</v>
      </c>
    </row>
    <row r="44" spans="6:20" x14ac:dyDescent="0.15">
      <c r="F44" s="111">
        <v>55</v>
      </c>
      <c r="G44" s="162">
        <v>3.4064885088813401</v>
      </c>
      <c r="H44" s="163">
        <v>3.7467517932857302</v>
      </c>
      <c r="I44" s="163">
        <v>3.9885454413263899</v>
      </c>
      <c r="J44" s="163">
        <v>4.1755141451177096</v>
      </c>
      <c r="K44" s="163">
        <v>4.3275537233911603</v>
      </c>
      <c r="L44" s="164">
        <v>4.4554213469395698</v>
      </c>
      <c r="N44" s="111">
        <v>55</v>
      </c>
      <c r="O44" s="162">
        <v>4.2974415565753503</v>
      </c>
      <c r="P44" s="163">
        <v>4.6125031693039</v>
      </c>
      <c r="Q44" s="163">
        <v>4.8380467691151301</v>
      </c>
      <c r="R44" s="163">
        <v>5.0134127052927502</v>
      </c>
      <c r="S44" s="163">
        <v>5.1566426403305501</v>
      </c>
      <c r="T44" s="164">
        <v>5.2775381195523003</v>
      </c>
    </row>
    <row r="45" spans="6:20" x14ac:dyDescent="0.15">
      <c r="F45" s="111">
        <v>60</v>
      </c>
      <c r="G45" s="162">
        <v>3.3986612412744699</v>
      </c>
      <c r="H45" s="163">
        <v>3.7370892265925999</v>
      </c>
      <c r="I45" s="163">
        <v>3.9774182229776698</v>
      </c>
      <c r="J45" s="163">
        <v>4.16316081560639</v>
      </c>
      <c r="K45" s="163">
        <v>4.3141428161006798</v>
      </c>
      <c r="L45" s="164">
        <v>4.4410790815790504</v>
      </c>
      <c r="N45" s="111">
        <v>60</v>
      </c>
      <c r="O45" s="162">
        <v>4.2821983616500097</v>
      </c>
      <c r="P45" s="163">
        <v>4.5944429874596704</v>
      </c>
      <c r="Q45" s="163">
        <v>4.81778172583613</v>
      </c>
      <c r="R45" s="163">
        <v>4.9913243446203701</v>
      </c>
      <c r="S45" s="163">
        <v>5.1329947076329301</v>
      </c>
      <c r="T45" s="164">
        <v>5.2525250157100603</v>
      </c>
    </row>
    <row r="46" spans="6:20" x14ac:dyDescent="0.15">
      <c r="F46" s="111">
        <v>65</v>
      </c>
      <c r="G46" s="162">
        <v>3.3920613478338999</v>
      </c>
      <c r="H46" s="163">
        <v>3.7289414977287101</v>
      </c>
      <c r="I46" s="163">
        <v>3.9680344994801602</v>
      </c>
      <c r="J46" s="163">
        <v>4.1527417794074903</v>
      </c>
      <c r="K46" s="163">
        <v>4.3028302647376799</v>
      </c>
      <c r="L46" s="164">
        <v>4.4289792278263098</v>
      </c>
      <c r="N46" s="111">
        <v>65</v>
      </c>
      <c r="O46" s="162">
        <v>4.2693701211128303</v>
      </c>
      <c r="P46" s="163">
        <v>4.5792460487226396</v>
      </c>
      <c r="Q46" s="163">
        <v>4.8007303057657102</v>
      </c>
      <c r="R46" s="163">
        <v>4.9727389012750098</v>
      </c>
      <c r="S46" s="163">
        <v>5.1130967440629798</v>
      </c>
      <c r="T46" s="164">
        <v>5.2314777954018901</v>
      </c>
    </row>
    <row r="47" spans="6:20" x14ac:dyDescent="0.15">
      <c r="F47" s="111">
        <v>70</v>
      </c>
      <c r="G47" s="162">
        <v>3.3864211483988602</v>
      </c>
      <c r="H47" s="163">
        <v>3.7219782991370498</v>
      </c>
      <c r="I47" s="163">
        <v>3.9600142967324699</v>
      </c>
      <c r="J47" s="163">
        <v>4.1438357413458302</v>
      </c>
      <c r="K47" s="163">
        <v>4.2931593437037199</v>
      </c>
      <c r="L47" s="164">
        <v>4.4186340340683303</v>
      </c>
      <c r="N47" s="111">
        <v>70</v>
      </c>
      <c r="O47" s="162">
        <v>4.25842517442012</v>
      </c>
      <c r="P47" s="163">
        <v>4.56628162100594</v>
      </c>
      <c r="Q47" s="163">
        <v>4.7861844530665199</v>
      </c>
      <c r="R47" s="163">
        <v>4.9568845767918202</v>
      </c>
      <c r="S47" s="163">
        <v>5.0961226040742096</v>
      </c>
      <c r="T47" s="164">
        <v>5.2135224791335899</v>
      </c>
    </row>
    <row r="48" spans="6:20" x14ac:dyDescent="0.15">
      <c r="F48" s="111">
        <v>80</v>
      </c>
      <c r="G48" s="162">
        <v>3.3772888809633002</v>
      </c>
      <c r="H48" s="163">
        <v>3.7107034522442599</v>
      </c>
      <c r="I48" s="163">
        <v>3.9470265681563501</v>
      </c>
      <c r="J48" s="163">
        <v>4.1294116230067601</v>
      </c>
      <c r="K48" s="163">
        <v>4.2774942267515099</v>
      </c>
      <c r="L48" s="164">
        <v>4.4018743155022904</v>
      </c>
      <c r="N48" s="111">
        <v>80</v>
      </c>
      <c r="O48" s="162">
        <v>4.2407388746111998</v>
      </c>
      <c r="P48" s="163">
        <v>4.5453348993005998</v>
      </c>
      <c r="Q48" s="163">
        <v>4.7626838842783803</v>
      </c>
      <c r="R48" s="163">
        <v>4.9312703497556001</v>
      </c>
      <c r="S48" s="163">
        <v>5.06869851041162</v>
      </c>
      <c r="T48" s="164">
        <v>5.1845132940194496</v>
      </c>
    </row>
    <row r="49" spans="6:20" x14ac:dyDescent="0.15">
      <c r="F49" s="111">
        <v>100</v>
      </c>
      <c r="G49" s="162">
        <v>3.3645721240078399</v>
      </c>
      <c r="H49" s="163">
        <v>3.6950021916907501</v>
      </c>
      <c r="I49" s="163">
        <v>3.9289371154158301</v>
      </c>
      <c r="J49" s="163">
        <v>4.1093176325318899</v>
      </c>
      <c r="K49" s="163">
        <v>4.25566684709678</v>
      </c>
      <c r="L49" s="164">
        <v>4.3785167477536104</v>
      </c>
      <c r="N49" s="111">
        <v>100</v>
      </c>
      <c r="O49" s="162">
        <v>4.2161829340899599</v>
      </c>
      <c r="P49" s="163">
        <v>4.5162582961376598</v>
      </c>
      <c r="Q49" s="163">
        <v>4.7300650131856603</v>
      </c>
      <c r="R49" s="163">
        <v>4.8957181228046496</v>
      </c>
      <c r="S49" s="163">
        <v>5.0306344952432003</v>
      </c>
      <c r="T49" s="164">
        <v>5.14424754918545</v>
      </c>
    </row>
    <row r="50" spans="6:20" x14ac:dyDescent="0.15">
      <c r="F50" s="111">
        <v>125</v>
      </c>
      <c r="G50" s="162">
        <v>3.3544558685518999</v>
      </c>
      <c r="H50" s="163">
        <v>3.6825109638208899</v>
      </c>
      <c r="I50" s="163">
        <v>3.9145435667636699</v>
      </c>
      <c r="J50" s="163">
        <v>4.0933258149505098</v>
      </c>
      <c r="K50" s="163">
        <v>4.23829167051003</v>
      </c>
      <c r="L50" s="164">
        <v>4.3599193013094002</v>
      </c>
      <c r="N50" s="111">
        <v>125</v>
      </c>
      <c r="O50" s="162">
        <v>4.1967087907039602</v>
      </c>
      <c r="P50" s="163">
        <v>4.4932042279067703</v>
      </c>
      <c r="Q50" s="163">
        <v>4.7042046757361398</v>
      </c>
      <c r="R50" s="163">
        <v>4.86753361389973</v>
      </c>
      <c r="S50" s="163">
        <v>5.0004585153504504</v>
      </c>
      <c r="T50" s="164">
        <v>5.1123248406751696</v>
      </c>
    </row>
    <row r="51" spans="6:20" x14ac:dyDescent="0.15">
      <c r="F51" s="111">
        <v>150</v>
      </c>
      <c r="G51" s="162">
        <v>3.3477397718638202</v>
      </c>
      <c r="H51" s="163">
        <v>3.6742177618783098</v>
      </c>
      <c r="I51" s="163">
        <v>3.9049862020085802</v>
      </c>
      <c r="J51" s="163">
        <v>4.0827055779311499</v>
      </c>
      <c r="K51" s="163">
        <v>4.2267508469963699</v>
      </c>
      <c r="L51" s="164">
        <v>4.34756456018102</v>
      </c>
      <c r="N51" s="111">
        <v>150</v>
      </c>
      <c r="O51" s="162">
        <v>4.1838096246479601</v>
      </c>
      <c r="P51" s="163">
        <v>4.4779364781481696</v>
      </c>
      <c r="Q51" s="163">
        <v>4.6870798171177199</v>
      </c>
      <c r="R51" s="163">
        <v>4.8488700639277296</v>
      </c>
      <c r="S51" s="163">
        <v>4.9804755805305696</v>
      </c>
      <c r="T51" s="164">
        <v>5.0911854477854002</v>
      </c>
    </row>
    <row r="52" spans="6:20" x14ac:dyDescent="0.15">
      <c r="F52" s="111">
        <v>200</v>
      </c>
      <c r="G52" s="162">
        <v>3.3393760921837199</v>
      </c>
      <c r="H52" s="163">
        <v>3.6638896601830799</v>
      </c>
      <c r="I52" s="163">
        <v>3.8930824397595298</v>
      </c>
      <c r="J52" s="163">
        <v>4.0694761879719596</v>
      </c>
      <c r="K52" s="163">
        <v>4.2123725794796103</v>
      </c>
      <c r="L52" s="164">
        <v>4.3321699390715498</v>
      </c>
      <c r="N52" s="111">
        <v>200</v>
      </c>
      <c r="O52" s="162">
        <v>4.1677790639689301</v>
      </c>
      <c r="P52" s="163">
        <v>4.4589653512413996</v>
      </c>
      <c r="Q52" s="163">
        <v>4.6658026601157703</v>
      </c>
      <c r="R52" s="163">
        <v>4.8256811043714496</v>
      </c>
      <c r="S52" s="163">
        <v>4.9556484098524001</v>
      </c>
      <c r="T52" s="164">
        <v>5.0649207154184799</v>
      </c>
    </row>
    <row r="53" spans="6:20" x14ac:dyDescent="0.15">
      <c r="F53" s="111">
        <v>400</v>
      </c>
      <c r="G53" s="162">
        <v>3.3268957513666901</v>
      </c>
      <c r="H53" s="163">
        <v>3.6484771261172302</v>
      </c>
      <c r="I53" s="163">
        <v>3.8753158488732198</v>
      </c>
      <c r="J53" s="163">
        <v>4.04972731453572</v>
      </c>
      <c r="K53" s="163">
        <v>4.19090425379322</v>
      </c>
      <c r="L53" s="164">
        <v>4.3091792631996704</v>
      </c>
      <c r="N53" s="111">
        <v>400</v>
      </c>
      <c r="O53" s="162">
        <v>4.1439263444604997</v>
      </c>
      <c r="P53" s="163">
        <v>4.4307436064541497</v>
      </c>
      <c r="Q53" s="163">
        <v>4.6341530038435899</v>
      </c>
      <c r="R53" s="163">
        <v>4.7911902161314401</v>
      </c>
      <c r="S53" s="163">
        <v>4.9187206889825896</v>
      </c>
      <c r="T53" s="164">
        <v>5.0258543666257198</v>
      </c>
    </row>
    <row r="54" spans="6:20" ht="14" thickBot="1" x14ac:dyDescent="0.2">
      <c r="F54" s="111">
        <v>1000</v>
      </c>
      <c r="G54" s="166">
        <v>3.3194448991605801</v>
      </c>
      <c r="H54" s="167">
        <v>3.6392752405207598</v>
      </c>
      <c r="I54" s="167">
        <v>3.86470694601425</v>
      </c>
      <c r="J54" s="167">
        <v>4.0379325836941504</v>
      </c>
      <c r="K54" s="167">
        <v>4.17808007912208</v>
      </c>
      <c r="L54" s="168">
        <v>4.2954429421078801</v>
      </c>
      <c r="N54" s="111">
        <v>1000</v>
      </c>
      <c r="O54" s="166">
        <v>4.1297250984209199</v>
      </c>
      <c r="P54" s="167">
        <v>4.4139445117531597</v>
      </c>
      <c r="Q54" s="167">
        <v>4.6153159222570501</v>
      </c>
      <c r="R54" s="167">
        <v>4.7706628684755703</v>
      </c>
      <c r="S54" s="167">
        <v>4.89674338439956</v>
      </c>
      <c r="T54" s="168">
        <v>5.0026041779427599</v>
      </c>
    </row>
  </sheetData>
  <mergeCells count="6">
    <mergeCell ref="B9:D9"/>
    <mergeCell ref="O3:T3"/>
    <mergeCell ref="G3:L3"/>
    <mergeCell ref="F1:L1"/>
    <mergeCell ref="N1:T1"/>
    <mergeCell ref="B1:D1"/>
  </mergeCells>
  <phoneticPr fontId="4" type="noConversion"/>
  <pageMargins left="0.75" right="0.75" top="1" bottom="1" header="0.5" footer="0.5"/>
  <pageSetup scale="90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S204"/>
  <sheetViews>
    <sheetView workbookViewId="0"/>
  </sheetViews>
  <sheetFormatPr baseColWidth="10" defaultColWidth="8.83203125" defaultRowHeight="13" x14ac:dyDescent="0.15"/>
  <cols>
    <col min="1" max="1" width="1.6640625" style="85" customWidth="1"/>
    <col min="2" max="3" width="8.83203125" style="263"/>
    <col min="4" max="4" width="8.83203125" style="151"/>
    <col min="5" max="6" width="8.83203125" style="85"/>
    <col min="7" max="19" width="9.1640625" style="85" customWidth="1"/>
    <col min="20" max="23" width="8.83203125" style="85"/>
    <col min="24" max="24" width="9.1640625" style="85" customWidth="1"/>
    <col min="25" max="25" width="5.5" style="85" customWidth="1"/>
    <col min="26" max="28" width="8.83203125" style="85"/>
    <col min="29" max="29" width="3" style="85" customWidth="1"/>
    <col min="30" max="30" width="5.5" style="85" customWidth="1"/>
    <col min="31" max="16384" width="8.83203125" style="85"/>
  </cols>
  <sheetData>
    <row r="1" spans="2:45" ht="14" thickBot="1" x14ac:dyDescent="0.2">
      <c r="B1" s="268" t="s">
        <v>66</v>
      </c>
      <c r="C1" s="269"/>
      <c r="D1" s="269"/>
      <c r="E1" s="269"/>
      <c r="F1" s="269"/>
      <c r="G1" s="269"/>
      <c r="H1" s="169"/>
      <c r="I1" s="268" t="s">
        <v>74</v>
      </c>
      <c r="J1" s="268"/>
      <c r="K1" s="268"/>
      <c r="L1" s="268"/>
      <c r="M1" s="268"/>
      <c r="N1" s="268"/>
      <c r="O1" s="169"/>
      <c r="P1" s="268" t="s">
        <v>72</v>
      </c>
      <c r="Q1" s="268"/>
      <c r="R1" s="268"/>
      <c r="S1" s="268"/>
      <c r="U1" s="268" t="s">
        <v>30</v>
      </c>
      <c r="V1" s="268"/>
      <c r="W1" s="268"/>
      <c r="Y1" s="268" t="s">
        <v>49</v>
      </c>
      <c r="Z1" s="272"/>
      <c r="AA1" s="272"/>
      <c r="AB1" s="272"/>
      <c r="AC1" s="272"/>
      <c r="AD1" s="272"/>
      <c r="AE1" s="272"/>
      <c r="AF1" s="272"/>
      <c r="AG1" s="272"/>
      <c r="AI1" s="295" t="s">
        <v>50</v>
      </c>
      <c r="AJ1" s="295"/>
      <c r="AK1" s="295"/>
      <c r="AL1" s="295"/>
      <c r="AM1" s="295"/>
      <c r="AN1" s="295"/>
      <c r="AO1" s="295"/>
      <c r="AQ1" s="292" t="s">
        <v>58</v>
      </c>
      <c r="AR1" s="292"/>
      <c r="AS1" s="292"/>
    </row>
    <row r="2" spans="2:45" x14ac:dyDescent="0.15">
      <c r="D2" s="85"/>
      <c r="AC2" s="151"/>
      <c r="AI2" s="170"/>
      <c r="AJ2" s="170"/>
      <c r="AK2" s="170"/>
      <c r="AL2" s="170"/>
      <c r="AM2" s="170"/>
      <c r="AN2" s="170"/>
      <c r="AO2" s="170"/>
      <c r="AQ2" s="170"/>
      <c r="AR2" s="170"/>
      <c r="AS2" s="170"/>
    </row>
    <row r="3" spans="2:45" ht="14" thickBot="1" x14ac:dyDescent="0.2">
      <c r="B3" s="274" t="s">
        <v>9</v>
      </c>
      <c r="C3" s="275"/>
      <c r="D3" s="85"/>
      <c r="F3" s="52" t="s">
        <v>118</v>
      </c>
      <c r="G3" s="171">
        <v>2</v>
      </c>
      <c r="H3" s="2"/>
      <c r="I3" s="2"/>
      <c r="J3" s="2"/>
      <c r="K3" s="2"/>
      <c r="L3" s="2"/>
      <c r="M3" s="2"/>
      <c r="N3" s="2"/>
      <c r="O3" s="2"/>
      <c r="P3" s="152"/>
      <c r="Q3" s="153" t="s">
        <v>195</v>
      </c>
      <c r="R3" s="172">
        <v>0.3</v>
      </c>
      <c r="U3" s="6" t="s">
        <v>118</v>
      </c>
      <c r="V3" s="93">
        <v>2</v>
      </c>
      <c r="AA3" s="50" t="s">
        <v>3</v>
      </c>
      <c r="AF3" s="50" t="s">
        <v>4</v>
      </c>
      <c r="AI3" s="290" t="s">
        <v>51</v>
      </c>
      <c r="AJ3" s="290"/>
      <c r="AK3" s="290"/>
      <c r="AL3" s="290"/>
      <c r="AM3" s="290"/>
      <c r="AO3" s="170"/>
      <c r="AQ3" s="231" t="s">
        <v>195</v>
      </c>
      <c r="AR3" s="41">
        <v>0.4</v>
      </c>
    </row>
    <row r="4" spans="2:45" ht="14" thickBot="1" x14ac:dyDescent="0.2">
      <c r="B4" s="65" t="s">
        <v>46</v>
      </c>
      <c r="C4" s="66" t="s">
        <v>47</v>
      </c>
      <c r="D4" s="4" t="s">
        <v>48</v>
      </c>
      <c r="H4" s="173"/>
      <c r="I4" s="173"/>
      <c r="J4" s="173"/>
      <c r="K4" s="173"/>
      <c r="L4" s="173"/>
      <c r="M4" s="173"/>
      <c r="N4" s="173"/>
      <c r="O4" s="173"/>
      <c r="P4" s="155"/>
      <c r="Q4" s="84" t="s">
        <v>196</v>
      </c>
      <c r="R4" s="89">
        <v>80</v>
      </c>
      <c r="U4" s="10" t="s">
        <v>157</v>
      </c>
      <c r="V4" s="94">
        <v>28</v>
      </c>
      <c r="Y4" s="67" t="s">
        <v>7</v>
      </c>
      <c r="Z4" s="68" t="s">
        <v>33</v>
      </c>
      <c r="AA4" s="68" t="s">
        <v>34</v>
      </c>
      <c r="AB4" s="68" t="s">
        <v>35</v>
      </c>
      <c r="AD4" s="67" t="s">
        <v>7</v>
      </c>
      <c r="AE4" s="68" t="s">
        <v>33</v>
      </c>
      <c r="AF4" s="68" t="s">
        <v>34</v>
      </c>
      <c r="AG4" s="68" t="s">
        <v>35</v>
      </c>
      <c r="AI4" s="231" t="s">
        <v>206</v>
      </c>
      <c r="AJ4" s="174">
        <v>0.5</v>
      </c>
      <c r="AL4" s="175">
        <f>0.5*LN(ABS((1+AJ4)/(1-AJ4)))</f>
        <v>0.54930614433405489</v>
      </c>
      <c r="AO4" s="170"/>
      <c r="AQ4" s="44" t="s">
        <v>114</v>
      </c>
      <c r="AR4" s="45">
        <f>ATANH(AR3)</f>
        <v>0.42364893019360184</v>
      </c>
    </row>
    <row r="5" spans="2:45" ht="15" thickBot="1" x14ac:dyDescent="0.2">
      <c r="B5" s="264">
        <v>5</v>
      </c>
      <c r="C5" s="264">
        <v>6</v>
      </c>
      <c r="D5" s="151">
        <f>B5*C5</f>
        <v>30</v>
      </c>
      <c r="F5" s="266" t="s">
        <v>67</v>
      </c>
      <c r="G5" s="267"/>
      <c r="P5" s="155"/>
      <c r="Q5" s="84" t="s">
        <v>197</v>
      </c>
      <c r="R5" s="89">
        <v>140</v>
      </c>
      <c r="U5" s="10" t="s">
        <v>162</v>
      </c>
      <c r="V5" s="96">
        <v>0.05</v>
      </c>
      <c r="Y5" s="50">
        <v>3</v>
      </c>
      <c r="Z5" s="176">
        <f t="shared" ref="Z5:Z36" si="0">SQRT((TINV(0.05,$Y5-2)^2)/(TINV(0.05,$Y5-2)^2+$Y5-2))</f>
        <v>0.99691733373312796</v>
      </c>
      <c r="AA5" s="177">
        <f t="shared" ref="AA5:AA36" si="1">SQRT((TINV(0.01,$Y5-2)^2)/(TINV(0.01,$Y5-2)^2+$Y5-2))</f>
        <v>0.99987663248166059</v>
      </c>
      <c r="AB5" s="178">
        <f t="shared" ref="AB5:AB36" si="2">SQRT((TINV(0.001,$Y5-2)^2)/(TINV(0.001,$Y5-2)^2+$Y5-2))</f>
        <v>0.99999876629970352</v>
      </c>
      <c r="AD5" s="50">
        <v>3</v>
      </c>
      <c r="AE5" s="176">
        <f t="shared" ref="AE5:AE36" si="3">SQRT((TINV(0.1,$Y5-2)^2)/(TINV(0.1,$Y5-2)^2+$Y5-2))</f>
        <v>0.98768834059513777</v>
      </c>
      <c r="AF5" s="177">
        <f t="shared" ref="AF5:AF36" si="4">SQRT((TINV(0.02,$Y5-2)^2)/(TINV(0.02,$Y5-2)^2+$Y5-2))</f>
        <v>0.9995065603657316</v>
      </c>
      <c r="AG5" s="178">
        <f t="shared" ref="AG5:AG36" si="5">SQRT((TINV(0.002,$Y5-2)^2)/(TINV(0.002,$Y5-2)^2+$Y5-2))</f>
        <v>0.99999506520185821</v>
      </c>
      <c r="AI5" s="232" t="s">
        <v>207</v>
      </c>
      <c r="AJ5" s="179">
        <v>0.1</v>
      </c>
      <c r="AL5" s="175">
        <f>0.5*LN(ABS((1+AJ5)/(1-AJ5)))</f>
        <v>0.10033534773107562</v>
      </c>
      <c r="AO5" s="170"/>
      <c r="AQ5" s="180"/>
      <c r="AR5" s="181"/>
    </row>
    <row r="6" spans="2:45" ht="14" thickBot="1" x14ac:dyDescent="0.2">
      <c r="B6" s="264">
        <v>7</v>
      </c>
      <c r="C6" s="264">
        <v>6</v>
      </c>
      <c r="D6" s="263">
        <f t="shared" ref="D6:D16" si="6">B6*C6</f>
        <v>42</v>
      </c>
      <c r="F6" s="55" t="s">
        <v>183</v>
      </c>
      <c r="G6" s="182">
        <f>(G22-G21*G23*G24)/((G21-1)*G25*G26)</f>
        <v>0.79460525595489095</v>
      </c>
      <c r="H6" s="2"/>
      <c r="I6" s="2"/>
      <c r="J6" s="2"/>
      <c r="K6" s="2"/>
      <c r="L6" s="2"/>
      <c r="M6" s="2"/>
      <c r="N6" s="2"/>
      <c r="O6" s="2"/>
      <c r="P6" s="155"/>
      <c r="Q6" s="84" t="s">
        <v>198</v>
      </c>
      <c r="R6" s="96">
        <f>R4/R5</f>
        <v>0.5714285714285714</v>
      </c>
      <c r="U6" s="44" t="s">
        <v>195</v>
      </c>
      <c r="V6" s="45">
        <f>SQRT((TINV((V5*(3-V3)),V4)^2)/(TINV((V5*(3-V3)),V4)^2+V4))</f>
        <v>0.36100690773323296</v>
      </c>
      <c r="Y6" s="50">
        <v>4</v>
      </c>
      <c r="Z6" s="183">
        <f t="shared" si="0"/>
        <v>0.95</v>
      </c>
      <c r="AA6" s="184">
        <f t="shared" si="1"/>
        <v>0.99</v>
      </c>
      <c r="AB6" s="185">
        <f t="shared" si="2"/>
        <v>0.999</v>
      </c>
      <c r="AD6" s="50">
        <v>4</v>
      </c>
      <c r="AE6" s="183">
        <f t="shared" si="3"/>
        <v>0.90000000000000013</v>
      </c>
      <c r="AF6" s="184">
        <f t="shared" si="4"/>
        <v>0.98</v>
      </c>
      <c r="AG6" s="185">
        <f t="shared" si="5"/>
        <v>0.998</v>
      </c>
      <c r="AI6" s="186" t="s">
        <v>208</v>
      </c>
      <c r="AJ6" s="187">
        <v>60</v>
      </c>
      <c r="AK6" s="170"/>
      <c r="AL6" s="170"/>
      <c r="AO6" s="170"/>
      <c r="AQ6" s="6" t="s">
        <v>114</v>
      </c>
      <c r="AR6" s="41">
        <v>0.42359999999999998</v>
      </c>
    </row>
    <row r="7" spans="2:45" ht="14" thickBot="1" x14ac:dyDescent="0.2">
      <c r="B7" s="264">
        <v>1</v>
      </c>
      <c r="C7" s="264">
        <v>3</v>
      </c>
      <c r="D7" s="263">
        <f t="shared" si="6"/>
        <v>3</v>
      </c>
      <c r="F7" s="55" t="s">
        <v>146</v>
      </c>
      <c r="G7" s="188">
        <f>G21-2</f>
        <v>10</v>
      </c>
      <c r="H7" s="189"/>
      <c r="I7" s="189"/>
      <c r="J7" s="189"/>
      <c r="K7" s="189"/>
      <c r="L7" s="189"/>
      <c r="M7" s="189"/>
      <c r="N7" s="189"/>
      <c r="O7" s="189"/>
      <c r="P7" s="160"/>
      <c r="Q7" s="161" t="s">
        <v>199</v>
      </c>
      <c r="R7" s="45">
        <f>(R3/R6)/SQRT((1/R6^2-1)*R3^2+1)</f>
        <v>0.48215383927046279</v>
      </c>
      <c r="Y7" s="50">
        <v>5</v>
      </c>
      <c r="Z7" s="183">
        <f t="shared" si="0"/>
        <v>0.87833944815980525</v>
      </c>
      <c r="AA7" s="184">
        <f t="shared" si="1"/>
        <v>0.95873500358707509</v>
      </c>
      <c r="AB7" s="185">
        <f t="shared" si="2"/>
        <v>0.99113872604579734</v>
      </c>
      <c r="AD7" s="50">
        <v>5</v>
      </c>
      <c r="AE7" s="183">
        <f t="shared" si="3"/>
        <v>0.80538363652011968</v>
      </c>
      <c r="AF7" s="184">
        <f t="shared" si="4"/>
        <v>0.93433299339680809</v>
      </c>
      <c r="AG7" s="185">
        <f t="shared" si="5"/>
        <v>0.98592624265263584</v>
      </c>
      <c r="AI7" s="186" t="s">
        <v>209</v>
      </c>
      <c r="AJ7" s="187">
        <v>40</v>
      </c>
      <c r="AO7" s="170"/>
      <c r="AQ7" s="44" t="s">
        <v>195</v>
      </c>
      <c r="AR7" s="45">
        <f>TANH(AR6)</f>
        <v>0.39995889783295246</v>
      </c>
    </row>
    <row r="8" spans="2:45" ht="14" thickBot="1" x14ac:dyDescent="0.2">
      <c r="B8" s="264">
        <v>2</v>
      </c>
      <c r="C8" s="264">
        <v>4</v>
      </c>
      <c r="D8" s="263">
        <f t="shared" si="6"/>
        <v>8</v>
      </c>
      <c r="F8" s="39" t="s">
        <v>147</v>
      </c>
      <c r="G8" s="99">
        <f>TDIST((ABS(G6)*SQRT(G7)/SQRT(1-G6^2)),G7,G3)</f>
        <v>2.0157550882996794E-3</v>
      </c>
      <c r="H8" s="173"/>
      <c r="I8" s="173"/>
      <c r="J8" s="173"/>
      <c r="K8" s="173"/>
      <c r="L8" s="173"/>
      <c r="M8" s="173"/>
      <c r="N8" s="173"/>
      <c r="O8" s="173"/>
      <c r="U8" s="6" t="s">
        <v>118</v>
      </c>
      <c r="V8" s="93">
        <v>2</v>
      </c>
      <c r="Y8" s="50">
        <v>6</v>
      </c>
      <c r="Z8" s="183">
        <f t="shared" si="0"/>
        <v>0.81140135189950779</v>
      </c>
      <c r="AA8" s="184">
        <f t="shared" si="1"/>
        <v>0.91719969856791372</v>
      </c>
      <c r="AB8" s="185">
        <f t="shared" si="2"/>
        <v>0.97406778782801795</v>
      </c>
      <c r="AD8" s="50">
        <v>6</v>
      </c>
      <c r="AE8" s="183">
        <f t="shared" si="3"/>
        <v>0.72929927565683239</v>
      </c>
      <c r="AF8" s="184">
        <f t="shared" si="4"/>
        <v>0.88219372844360955</v>
      </c>
      <c r="AG8" s="185">
        <f t="shared" si="5"/>
        <v>0.96325949228237673</v>
      </c>
      <c r="AI8" s="10" t="s">
        <v>118</v>
      </c>
      <c r="AJ8" s="94">
        <v>2</v>
      </c>
      <c r="AK8" s="170"/>
      <c r="AL8" s="170"/>
      <c r="AO8" s="170"/>
    </row>
    <row r="9" spans="2:45" ht="14" thickBot="1" x14ac:dyDescent="0.2">
      <c r="B9" s="264">
        <v>8</v>
      </c>
      <c r="C9" s="264">
        <v>7</v>
      </c>
      <c r="D9" s="263">
        <f t="shared" si="6"/>
        <v>56</v>
      </c>
      <c r="H9" s="34"/>
      <c r="I9" s="34"/>
      <c r="J9" s="34"/>
      <c r="K9" s="34"/>
      <c r="L9" s="34"/>
      <c r="M9" s="34"/>
      <c r="N9" s="34"/>
      <c r="O9" s="34"/>
      <c r="U9" s="10" t="s">
        <v>157</v>
      </c>
      <c r="V9" s="94">
        <v>28</v>
      </c>
      <c r="Y9" s="50">
        <v>7</v>
      </c>
      <c r="Z9" s="183">
        <f t="shared" si="0"/>
        <v>0.75449223446096447</v>
      </c>
      <c r="AA9" s="184">
        <f t="shared" si="1"/>
        <v>0.87452637990131199</v>
      </c>
      <c r="AB9" s="185">
        <f t="shared" si="2"/>
        <v>0.950883419159121</v>
      </c>
      <c r="AD9" s="50">
        <v>7</v>
      </c>
      <c r="AE9" s="183">
        <f t="shared" si="3"/>
        <v>0.66943946668868382</v>
      </c>
      <c r="AF9" s="184">
        <f t="shared" si="4"/>
        <v>0.83287402450932935</v>
      </c>
      <c r="AG9" s="185">
        <f t="shared" si="5"/>
        <v>0.93496442253206036</v>
      </c>
      <c r="AI9" s="233" t="s">
        <v>114</v>
      </c>
      <c r="AJ9" s="190">
        <f>ABS((AL4-AL5)/SQRT((1/(AJ6-3))+(1/(AJ7-3))))</f>
        <v>2.1266325468861131</v>
      </c>
      <c r="AK9" s="170"/>
      <c r="AL9" s="170"/>
      <c r="AO9" s="170"/>
    </row>
    <row r="10" spans="2:45" ht="14" thickBot="1" x14ac:dyDescent="0.2">
      <c r="B10" s="264">
        <v>4</v>
      </c>
      <c r="C10" s="264">
        <v>2</v>
      </c>
      <c r="D10" s="263">
        <f t="shared" si="6"/>
        <v>8</v>
      </c>
      <c r="F10" s="293" t="s">
        <v>68</v>
      </c>
      <c r="G10" s="294"/>
      <c r="P10" s="289" t="s">
        <v>73</v>
      </c>
      <c r="Q10" s="289"/>
      <c r="R10" s="289"/>
      <c r="S10" s="289"/>
      <c r="U10" s="10" t="s">
        <v>195</v>
      </c>
      <c r="V10" s="43">
        <v>0.4</v>
      </c>
      <c r="Y10" s="50">
        <v>8</v>
      </c>
      <c r="Z10" s="183">
        <f t="shared" si="0"/>
        <v>0.70673440073065374</v>
      </c>
      <c r="AA10" s="184">
        <f t="shared" si="1"/>
        <v>0.83434162559704639</v>
      </c>
      <c r="AB10" s="185">
        <f t="shared" si="2"/>
        <v>0.9249041986562635</v>
      </c>
      <c r="AD10" s="50">
        <v>8</v>
      </c>
      <c r="AE10" s="183">
        <f t="shared" si="3"/>
        <v>0.62148924512445836</v>
      </c>
      <c r="AF10" s="184">
        <f t="shared" si="4"/>
        <v>0.78872031289845124</v>
      </c>
      <c r="AG10" s="185">
        <f t="shared" si="5"/>
        <v>0.90489620364908452</v>
      </c>
      <c r="AI10" s="234" t="s">
        <v>122</v>
      </c>
      <c r="AJ10" s="191">
        <f>AJ8 * (1 - NORMSDIST(AJ9))</f>
        <v>3.3450626044827292E-2</v>
      </c>
      <c r="AK10" s="170"/>
      <c r="AL10" s="170"/>
      <c r="AO10" s="170"/>
    </row>
    <row r="11" spans="2:45" ht="14" thickBot="1" x14ac:dyDescent="0.2">
      <c r="B11" s="264">
        <v>6</v>
      </c>
      <c r="C11" s="264">
        <v>9</v>
      </c>
      <c r="D11" s="263">
        <f t="shared" si="6"/>
        <v>54</v>
      </c>
      <c r="F11" s="83" t="s">
        <v>184</v>
      </c>
      <c r="G11" s="192">
        <f>G6*G26/G25</f>
        <v>0.75622968580715078</v>
      </c>
      <c r="H11" s="193"/>
      <c r="I11" s="193"/>
      <c r="J11" s="193"/>
      <c r="K11" s="193"/>
      <c r="L11" s="193"/>
      <c r="M11" s="193"/>
      <c r="N11" s="193"/>
      <c r="O11" s="193"/>
      <c r="U11" s="44" t="s">
        <v>122</v>
      </c>
      <c r="V11" s="45">
        <f>TDIST((V10*SQRT(V9)/SQRT(1-V10^2)),V9,V8)</f>
        <v>2.8513059404461426E-2</v>
      </c>
      <c r="Y11" s="50">
        <v>9</v>
      </c>
      <c r="Z11" s="183">
        <f t="shared" si="0"/>
        <v>0.66638360533630914</v>
      </c>
      <c r="AA11" s="184">
        <f t="shared" si="1"/>
        <v>0.7976812046498164</v>
      </c>
      <c r="AB11" s="185">
        <f t="shared" si="2"/>
        <v>0.89825995312843854</v>
      </c>
      <c r="AD11" s="50">
        <v>9</v>
      </c>
      <c r="AE11" s="183">
        <f t="shared" si="3"/>
        <v>0.58220559656116022</v>
      </c>
      <c r="AF11" s="184">
        <f t="shared" si="4"/>
        <v>0.74977582349440275</v>
      </c>
      <c r="AG11" s="185">
        <f t="shared" si="5"/>
        <v>0.87514480667528183</v>
      </c>
      <c r="AK11" s="170"/>
      <c r="AL11" s="170"/>
      <c r="AO11" s="170"/>
    </row>
    <row r="12" spans="2:45" x14ac:dyDescent="0.15">
      <c r="B12" s="264">
        <v>6</v>
      </c>
      <c r="C12" s="264">
        <v>7</v>
      </c>
      <c r="D12" s="263">
        <f t="shared" si="6"/>
        <v>42</v>
      </c>
      <c r="F12" s="83" t="s">
        <v>185</v>
      </c>
      <c r="G12" s="192">
        <f>G24-G11*G23</f>
        <v>1.3672806067172254</v>
      </c>
      <c r="H12" s="194"/>
      <c r="I12" s="194"/>
      <c r="J12" s="194"/>
      <c r="K12" s="194"/>
      <c r="L12" s="194"/>
      <c r="M12" s="194"/>
      <c r="N12" s="194"/>
      <c r="O12" s="194"/>
      <c r="P12" s="6" t="s">
        <v>195</v>
      </c>
      <c r="Q12" s="172">
        <v>0.4</v>
      </c>
      <c r="Y12" s="50">
        <v>10</v>
      </c>
      <c r="Z12" s="183">
        <f t="shared" si="0"/>
        <v>0.63189686471983408</v>
      </c>
      <c r="AA12" s="184">
        <f t="shared" si="1"/>
        <v>0.76459249666209606</v>
      </c>
      <c r="AB12" s="185">
        <f t="shared" si="2"/>
        <v>0.87211515680588081</v>
      </c>
      <c r="AD12" s="50">
        <v>10</v>
      </c>
      <c r="AE12" s="183">
        <f t="shared" si="3"/>
        <v>0.54935683193510454</v>
      </c>
      <c r="AF12" s="184">
        <f t="shared" si="4"/>
        <v>0.71545924598628541</v>
      </c>
      <c r="AG12" s="185">
        <f t="shared" si="5"/>
        <v>0.84669091434622523</v>
      </c>
      <c r="AI12" s="290" t="s">
        <v>52</v>
      </c>
      <c r="AJ12" s="290"/>
      <c r="AK12" s="290"/>
      <c r="AL12" s="290"/>
      <c r="AM12" s="290"/>
      <c r="AN12" s="170"/>
      <c r="AO12" s="170"/>
    </row>
    <row r="13" spans="2:45" x14ac:dyDescent="0.15">
      <c r="B13" s="264">
        <v>2</v>
      </c>
      <c r="C13" s="264">
        <v>1</v>
      </c>
      <c r="D13" s="263">
        <f t="shared" si="6"/>
        <v>2</v>
      </c>
      <c r="F13" s="55" t="s">
        <v>186</v>
      </c>
      <c r="G13" s="182">
        <f>G6^2</f>
        <v>0.63139751279113776</v>
      </c>
      <c r="H13" s="194"/>
      <c r="I13" s="194"/>
      <c r="J13" s="194"/>
      <c r="K13" s="194"/>
      <c r="L13" s="194"/>
      <c r="M13" s="194"/>
      <c r="N13" s="194"/>
      <c r="O13" s="194"/>
      <c r="P13" s="10" t="s">
        <v>200</v>
      </c>
      <c r="Q13" s="96">
        <v>0.8</v>
      </c>
      <c r="Y13" s="50">
        <v>11</v>
      </c>
      <c r="Z13" s="183">
        <f t="shared" si="0"/>
        <v>0.60206877743700837</v>
      </c>
      <c r="AA13" s="184">
        <f t="shared" si="1"/>
        <v>0.73478633739105803</v>
      </c>
      <c r="AB13" s="185">
        <f t="shared" si="2"/>
        <v>0.84704700710630709</v>
      </c>
      <c r="AD13" s="50">
        <v>11</v>
      </c>
      <c r="AE13" s="183">
        <f t="shared" si="3"/>
        <v>0.52140436474283314</v>
      </c>
      <c r="AF13" s="184">
        <f t="shared" si="4"/>
        <v>0.6850953517516406</v>
      </c>
      <c r="AG13" s="185">
        <f t="shared" si="5"/>
        <v>0.81992734225978747</v>
      </c>
      <c r="AI13" s="231" t="s">
        <v>210</v>
      </c>
      <c r="AJ13" s="174">
        <v>0.5</v>
      </c>
      <c r="AK13" s="195"/>
      <c r="AL13" s="196">
        <f>(1-AJ13^2-AJ14^2-AJ15^2)+(2*AJ13*AJ14*AJ15)</f>
        <v>0.62</v>
      </c>
      <c r="AN13" s="170"/>
      <c r="AO13" s="170"/>
    </row>
    <row r="14" spans="2:45" ht="14" thickBot="1" x14ac:dyDescent="0.2">
      <c r="B14" s="264">
        <v>9</v>
      </c>
      <c r="C14" s="264">
        <v>7</v>
      </c>
      <c r="D14" s="263">
        <f t="shared" si="6"/>
        <v>63</v>
      </c>
      <c r="F14" s="55" t="s">
        <v>187</v>
      </c>
      <c r="G14" s="182">
        <f>1-((1-G13)*(G21-1))/(G21-2)</f>
        <v>0.59453726407025154</v>
      </c>
      <c r="H14" s="189"/>
      <c r="I14" s="189"/>
      <c r="J14" s="189"/>
      <c r="K14" s="189"/>
      <c r="L14" s="189"/>
      <c r="M14" s="189"/>
      <c r="N14" s="189"/>
      <c r="O14" s="189"/>
      <c r="P14" s="10" t="s">
        <v>201</v>
      </c>
      <c r="Q14" s="96">
        <v>0.9</v>
      </c>
      <c r="Y14" s="50">
        <v>12</v>
      </c>
      <c r="Z14" s="183">
        <f t="shared" si="0"/>
        <v>0.57598298644226398</v>
      </c>
      <c r="AA14" s="184">
        <f t="shared" si="1"/>
        <v>0.70788755132997161</v>
      </c>
      <c r="AB14" s="185">
        <f t="shared" si="2"/>
        <v>0.82330483467491422</v>
      </c>
      <c r="AD14" s="50">
        <v>12</v>
      </c>
      <c r="AE14" s="183">
        <f t="shared" si="3"/>
        <v>0.49726474518364544</v>
      </c>
      <c r="AF14" s="184">
        <f t="shared" si="4"/>
        <v>0.65806978903508184</v>
      </c>
      <c r="AG14" s="185">
        <f t="shared" si="5"/>
        <v>0.79495310438749256</v>
      </c>
      <c r="AI14" s="232" t="s">
        <v>211</v>
      </c>
      <c r="AJ14" s="179">
        <v>0.4</v>
      </c>
      <c r="AL14" s="196">
        <f>(AJ16-1)*(1+AJ15)</f>
        <v>63.7</v>
      </c>
      <c r="AN14" s="170"/>
      <c r="AO14" s="170"/>
    </row>
    <row r="15" spans="2:45" ht="14" thickBot="1" x14ac:dyDescent="0.2">
      <c r="B15" s="264">
        <v>3</v>
      </c>
      <c r="C15" s="264">
        <v>4</v>
      </c>
      <c r="D15" s="263">
        <f t="shared" si="6"/>
        <v>12</v>
      </c>
      <c r="F15" s="39" t="s">
        <v>188</v>
      </c>
      <c r="G15" s="197">
        <f>_xlfn.STDEV.S(C5:C100000)*SQRT(1-G14)</f>
        <v>1.6024764150802371</v>
      </c>
      <c r="H15" s="189"/>
      <c r="I15" s="189"/>
      <c r="J15" s="189"/>
      <c r="K15" s="189"/>
      <c r="L15" s="189"/>
      <c r="M15" s="189"/>
      <c r="N15" s="189"/>
      <c r="O15" s="189"/>
      <c r="P15" s="44" t="s">
        <v>199</v>
      </c>
      <c r="Q15" s="45">
        <f>Q12/SQRT(Q13*Q14)</f>
        <v>0.47140452079103168</v>
      </c>
      <c r="Y15" s="50">
        <v>13</v>
      </c>
      <c r="Z15" s="183">
        <f t="shared" si="0"/>
        <v>0.55294265949458932</v>
      </c>
      <c r="AA15" s="184">
        <f t="shared" si="1"/>
        <v>0.68352763288746587</v>
      </c>
      <c r="AB15" s="185">
        <f t="shared" si="2"/>
        <v>0.80096162028229501</v>
      </c>
      <c r="AD15" s="50">
        <v>13</v>
      </c>
      <c r="AE15" s="183">
        <f t="shared" si="3"/>
        <v>0.4761559919071614</v>
      </c>
      <c r="AF15" s="184">
        <f t="shared" si="4"/>
        <v>0.63386299002859847</v>
      </c>
      <c r="AG15" s="185">
        <f t="shared" si="5"/>
        <v>0.77172647046572063</v>
      </c>
      <c r="AI15" s="232" t="s">
        <v>212</v>
      </c>
      <c r="AJ15" s="179">
        <v>0.3</v>
      </c>
      <c r="AK15" s="196"/>
      <c r="AL15" s="196">
        <f>2*(AJ16-1)/(AJ16-3)*AL13+(AJ13+AJ14)^2/4*(1-AJ15)^3</f>
        <v>1.3622234574468086</v>
      </c>
      <c r="AN15" s="170"/>
      <c r="AO15" s="170"/>
    </row>
    <row r="16" spans="2:45" ht="14" thickBot="1" x14ac:dyDescent="0.2">
      <c r="B16" s="264">
        <v>2</v>
      </c>
      <c r="C16" s="264">
        <v>2</v>
      </c>
      <c r="D16" s="263">
        <f t="shared" si="6"/>
        <v>4</v>
      </c>
      <c r="H16" s="194"/>
      <c r="I16" s="194"/>
      <c r="J16" s="194"/>
      <c r="K16" s="194"/>
      <c r="L16" s="194"/>
      <c r="M16" s="194"/>
      <c r="N16" s="194"/>
      <c r="O16" s="194"/>
      <c r="Y16" s="50">
        <v>14</v>
      </c>
      <c r="Z16" s="183">
        <f t="shared" si="0"/>
        <v>0.53241280468130958</v>
      </c>
      <c r="AA16" s="184">
        <f t="shared" si="1"/>
        <v>0.66137560424951847</v>
      </c>
      <c r="AB16" s="185">
        <f t="shared" si="2"/>
        <v>0.77999842535356212</v>
      </c>
      <c r="AD16" s="50">
        <v>14</v>
      </c>
      <c r="AE16" s="183">
        <f t="shared" si="3"/>
        <v>0.45750017184466213</v>
      </c>
      <c r="AF16" s="184">
        <f t="shared" si="4"/>
        <v>0.61204655884284376</v>
      </c>
      <c r="AG16" s="185">
        <f t="shared" si="5"/>
        <v>0.75014289856032224</v>
      </c>
      <c r="AI16" s="186" t="s">
        <v>213</v>
      </c>
      <c r="AJ16" s="187">
        <v>50</v>
      </c>
      <c r="AL16" s="170"/>
      <c r="AO16" s="170"/>
    </row>
    <row r="17" spans="2:41" ht="14" thickBot="1" x14ac:dyDescent="0.2">
      <c r="B17" s="264"/>
      <c r="C17" s="264"/>
      <c r="D17" s="263"/>
      <c r="F17" s="266" t="s">
        <v>69</v>
      </c>
      <c r="G17" s="267"/>
      <c r="P17" s="105"/>
      <c r="Q17" s="105"/>
      <c r="R17" s="105"/>
      <c r="S17" s="105"/>
      <c r="Y17" s="50">
        <v>15</v>
      </c>
      <c r="Z17" s="183">
        <f t="shared" si="0"/>
        <v>0.51397748425605616</v>
      </c>
      <c r="AA17" s="184">
        <f t="shared" si="1"/>
        <v>0.64114480897833814</v>
      </c>
      <c r="AB17" s="185">
        <f t="shared" si="2"/>
        <v>0.76035076885789643</v>
      </c>
      <c r="AD17" s="50">
        <v>15</v>
      </c>
      <c r="AE17" s="183">
        <f t="shared" si="3"/>
        <v>0.44086084150785015</v>
      </c>
      <c r="AF17" s="184">
        <f t="shared" si="4"/>
        <v>0.59226979060214413</v>
      </c>
      <c r="AG17" s="185">
        <f t="shared" si="5"/>
        <v>0.73007434067617327</v>
      </c>
      <c r="AI17" s="10" t="s">
        <v>118</v>
      </c>
      <c r="AJ17" s="94">
        <v>2</v>
      </c>
      <c r="AK17" s="170"/>
      <c r="AL17" s="170"/>
      <c r="AO17" s="170"/>
    </row>
    <row r="18" spans="2:41" ht="14" thickBot="1" x14ac:dyDescent="0.2">
      <c r="B18" s="264"/>
      <c r="C18" s="264"/>
      <c r="D18" s="263"/>
      <c r="F18" s="52" t="s">
        <v>115</v>
      </c>
      <c r="G18" s="171">
        <v>100</v>
      </c>
      <c r="H18" s="2"/>
      <c r="I18" s="2"/>
      <c r="J18" s="2"/>
      <c r="K18" s="2"/>
      <c r="L18" s="2"/>
      <c r="M18" s="2"/>
      <c r="N18" s="2"/>
      <c r="O18" s="2"/>
      <c r="P18" s="289" t="s">
        <v>71</v>
      </c>
      <c r="Q18" s="289"/>
      <c r="R18" s="289"/>
      <c r="Y18" s="50">
        <v>16</v>
      </c>
      <c r="Z18" s="183">
        <f t="shared" si="0"/>
        <v>0.49730903545939309</v>
      </c>
      <c r="AA18" s="184">
        <f t="shared" si="1"/>
        <v>0.62259073052884994</v>
      </c>
      <c r="AB18" s="185">
        <f t="shared" si="2"/>
        <v>0.74193394441544158</v>
      </c>
      <c r="AD18" s="50">
        <v>16</v>
      </c>
      <c r="AE18" s="183">
        <f t="shared" si="3"/>
        <v>0.42590199441122217</v>
      </c>
      <c r="AF18" s="184">
        <f t="shared" si="4"/>
        <v>0.57424534998737287</v>
      </c>
      <c r="AG18" s="185">
        <f t="shared" si="5"/>
        <v>0.71138875721994621</v>
      </c>
      <c r="AI18" s="233" t="s">
        <v>156</v>
      </c>
      <c r="AJ18" s="190">
        <f>(AJ13-AJ14)*SQRT(AL14/AL15)</f>
        <v>0.68382588922671572</v>
      </c>
      <c r="AK18" s="170"/>
      <c r="AL18" s="170"/>
      <c r="AO18" s="170"/>
    </row>
    <row r="19" spans="2:41" ht="14" thickBot="1" x14ac:dyDescent="0.2">
      <c r="B19" s="264"/>
      <c r="C19" s="264"/>
      <c r="D19" s="263"/>
      <c r="F19" s="32" t="s">
        <v>189</v>
      </c>
      <c r="G19" s="197">
        <f>G18*G11+G12</f>
        <v>76.990249187432312</v>
      </c>
      <c r="H19" s="173"/>
      <c r="I19" s="173"/>
      <c r="J19" s="173"/>
      <c r="K19" s="173"/>
      <c r="L19" s="173"/>
      <c r="M19" s="173"/>
      <c r="N19" s="173"/>
      <c r="O19" s="173"/>
      <c r="Y19" s="50">
        <v>17</v>
      </c>
      <c r="Z19" s="183">
        <f t="shared" si="0"/>
        <v>0.48214601690033221</v>
      </c>
      <c r="AA19" s="184">
        <f t="shared" si="1"/>
        <v>0.60550591965385336</v>
      </c>
      <c r="AB19" s="185">
        <f t="shared" si="2"/>
        <v>0.72465671411219446</v>
      </c>
      <c r="AD19" s="50">
        <v>17</v>
      </c>
      <c r="AE19" s="183">
        <f t="shared" si="3"/>
        <v>0.41236048101042416</v>
      </c>
      <c r="AF19" s="184">
        <f t="shared" si="4"/>
        <v>0.55773676605126832</v>
      </c>
      <c r="AG19" s="185">
        <f t="shared" si="5"/>
        <v>0.69395944574594415</v>
      </c>
      <c r="AI19" s="235" t="s">
        <v>157</v>
      </c>
      <c r="AJ19" s="198">
        <f>AJ16-3</f>
        <v>47</v>
      </c>
      <c r="AK19" s="170"/>
      <c r="AL19" s="170"/>
      <c r="AO19" s="170"/>
    </row>
    <row r="20" spans="2:41" ht="14" thickBot="1" x14ac:dyDescent="0.2">
      <c r="B20" s="264"/>
      <c r="C20" s="264"/>
      <c r="D20" s="263"/>
      <c r="H20" s="194"/>
      <c r="I20" s="194"/>
      <c r="J20" s="194"/>
      <c r="K20" s="194"/>
      <c r="L20" s="194"/>
      <c r="M20" s="194"/>
      <c r="N20" s="194"/>
      <c r="O20" s="194"/>
      <c r="P20" s="35" t="s">
        <v>202</v>
      </c>
      <c r="Q20" s="199">
        <v>0.51</v>
      </c>
      <c r="Y20" s="50">
        <v>18</v>
      </c>
      <c r="Z20" s="183">
        <f t="shared" si="0"/>
        <v>0.46827730544520685</v>
      </c>
      <c r="AA20" s="184">
        <f t="shared" si="1"/>
        <v>0.58971444840568088</v>
      </c>
      <c r="AB20" s="185">
        <f t="shared" si="2"/>
        <v>0.70842856169061341</v>
      </c>
      <c r="AD20" s="50">
        <v>18</v>
      </c>
      <c r="AE20" s="183">
        <f t="shared" si="3"/>
        <v>0.40002705172446096</v>
      </c>
      <c r="AF20" s="184">
        <f t="shared" si="4"/>
        <v>0.54254823124784335</v>
      </c>
      <c r="AG20" s="185">
        <f t="shared" si="5"/>
        <v>0.67766911443294264</v>
      </c>
      <c r="AI20" s="234" t="s">
        <v>122</v>
      </c>
      <c r="AJ20" s="191">
        <f>TDIST(ABS(AJ18), AJ19, AJ17)</f>
        <v>0.49744291196421542</v>
      </c>
      <c r="AK20" s="170"/>
      <c r="AL20" s="170"/>
      <c r="AO20" s="170"/>
    </row>
    <row r="21" spans="2:41" ht="14" thickBot="1" x14ac:dyDescent="0.2">
      <c r="B21" s="264"/>
      <c r="C21" s="264"/>
      <c r="D21" s="263"/>
      <c r="F21" s="146" t="s">
        <v>131</v>
      </c>
      <c r="G21" s="200">
        <f>COUNT(D5:D100000)</f>
        <v>12</v>
      </c>
      <c r="P21" s="201" t="s">
        <v>203</v>
      </c>
      <c r="Q21" s="202">
        <v>3.03</v>
      </c>
      <c r="Y21" s="50">
        <v>19</v>
      </c>
      <c r="Z21" s="183">
        <f t="shared" si="0"/>
        <v>0.45553050576304216</v>
      </c>
      <c r="AA21" s="184">
        <f t="shared" si="1"/>
        <v>0.57506679104198366</v>
      </c>
      <c r="AB21" s="185">
        <f t="shared" si="2"/>
        <v>0.69316336285211155</v>
      </c>
      <c r="AD21" s="50">
        <v>19</v>
      </c>
      <c r="AE21" s="183">
        <f t="shared" si="3"/>
        <v>0.38873304602714132</v>
      </c>
      <c r="AF21" s="184">
        <f t="shared" si="4"/>
        <v>0.52851650321914778</v>
      </c>
      <c r="AG21" s="185">
        <f t="shared" si="5"/>
        <v>0.66241126016461205</v>
      </c>
      <c r="AK21" s="170"/>
      <c r="AL21" s="170"/>
      <c r="AO21" s="170"/>
    </row>
    <row r="22" spans="2:41" ht="14" thickBot="1" x14ac:dyDescent="0.2">
      <c r="B22" s="264"/>
      <c r="C22" s="264"/>
      <c r="D22" s="263"/>
      <c r="F22" s="203" t="s">
        <v>190</v>
      </c>
      <c r="G22" s="200">
        <f>SUM(D5:D100000)</f>
        <v>324</v>
      </c>
      <c r="H22" s="200"/>
      <c r="I22" s="200"/>
      <c r="J22" s="200"/>
      <c r="K22" s="200"/>
      <c r="L22" s="200"/>
      <c r="M22" s="200"/>
      <c r="N22" s="200"/>
      <c r="O22" s="200"/>
      <c r="P22" s="23" t="s">
        <v>188</v>
      </c>
      <c r="Q22" s="204">
        <f>Q21*SQRT(1-Q20^2)</f>
        <v>2.6063284347909801</v>
      </c>
      <c r="Y22" s="50">
        <v>20</v>
      </c>
      <c r="Z22" s="183">
        <f t="shared" si="0"/>
        <v>0.44376339933778686</v>
      </c>
      <c r="AA22" s="184">
        <f t="shared" si="1"/>
        <v>0.56143540415619164</v>
      </c>
      <c r="AB22" s="185">
        <f t="shared" si="2"/>
        <v>0.67878106271128336</v>
      </c>
      <c r="AD22" s="50">
        <v>20</v>
      </c>
      <c r="AE22" s="183">
        <f t="shared" si="3"/>
        <v>0.37834086104351949</v>
      </c>
      <c r="AF22" s="184">
        <f t="shared" si="4"/>
        <v>0.5155045398035073</v>
      </c>
      <c r="AG22" s="185">
        <f t="shared" si="5"/>
        <v>0.648090194240735</v>
      </c>
      <c r="AI22" s="291" t="s">
        <v>53</v>
      </c>
      <c r="AJ22" s="291"/>
      <c r="AK22" s="291"/>
      <c r="AL22" s="291"/>
      <c r="AM22" s="291"/>
      <c r="AO22" s="170"/>
    </row>
    <row r="23" spans="2:41" x14ac:dyDescent="0.15">
      <c r="B23" s="264"/>
      <c r="C23" s="264"/>
      <c r="D23" s="263"/>
      <c r="F23" s="203" t="s">
        <v>191</v>
      </c>
      <c r="G23" s="200">
        <f>AVERAGE(B5:B100000)</f>
        <v>4.583333333333333</v>
      </c>
      <c r="H23" s="200"/>
      <c r="I23" s="200"/>
      <c r="J23" s="200"/>
      <c r="K23" s="200"/>
      <c r="L23" s="200"/>
      <c r="M23" s="200"/>
      <c r="N23" s="200"/>
      <c r="O23" s="200"/>
      <c r="Y23" s="50">
        <v>21</v>
      </c>
      <c r="Z23" s="183">
        <f t="shared" si="0"/>
        <v>0.43285755631652889</v>
      </c>
      <c r="AA23" s="184">
        <f t="shared" si="1"/>
        <v>0.54871102602494792</v>
      </c>
      <c r="AB23" s="185">
        <f t="shared" si="2"/>
        <v>0.66520825361501978</v>
      </c>
      <c r="AD23" s="50">
        <v>21</v>
      </c>
      <c r="AE23" s="183">
        <f t="shared" si="3"/>
        <v>0.36873700336416487</v>
      </c>
      <c r="AF23" s="184">
        <f t="shared" si="4"/>
        <v>0.50339650502134026</v>
      </c>
      <c r="AG23" s="185">
        <f t="shared" si="5"/>
        <v>0.63462042460122758</v>
      </c>
      <c r="AI23" s="205"/>
      <c r="AJ23" s="206" t="s">
        <v>54</v>
      </c>
      <c r="AK23" s="206" t="s">
        <v>55</v>
      </c>
      <c r="AL23" s="207" t="s">
        <v>56</v>
      </c>
      <c r="AO23" s="170"/>
    </row>
    <row r="24" spans="2:41" x14ac:dyDescent="0.15">
      <c r="B24" s="264"/>
      <c r="C24" s="264"/>
      <c r="D24" s="263"/>
      <c r="F24" s="203" t="s">
        <v>192</v>
      </c>
      <c r="G24" s="200">
        <f>AVERAGE(C5:C100000)</f>
        <v>4.833333333333333</v>
      </c>
      <c r="H24" s="200"/>
      <c r="I24" s="200"/>
      <c r="J24" s="200"/>
      <c r="K24" s="200"/>
      <c r="L24" s="200"/>
      <c r="M24" s="200"/>
      <c r="N24" s="200"/>
      <c r="O24" s="200"/>
      <c r="Y24" s="50">
        <v>22</v>
      </c>
      <c r="Z24" s="183">
        <f t="shared" si="0"/>
        <v>0.4227135041660024</v>
      </c>
      <c r="AA24" s="184">
        <f t="shared" si="1"/>
        <v>0.53679962276175341</v>
      </c>
      <c r="AB24" s="185">
        <f t="shared" si="2"/>
        <v>0.6523781589654627</v>
      </c>
      <c r="AD24" s="50">
        <v>22</v>
      </c>
      <c r="AE24" s="183">
        <f t="shared" si="3"/>
        <v>0.35982694082255151</v>
      </c>
      <c r="AF24" s="184">
        <f t="shared" si="4"/>
        <v>0.49209384097096587</v>
      </c>
      <c r="AG24" s="185">
        <f t="shared" si="5"/>
        <v>0.62192576819040424</v>
      </c>
      <c r="AI24" s="208" t="s">
        <v>55</v>
      </c>
      <c r="AJ24" s="209">
        <v>0.5</v>
      </c>
      <c r="AK24" s="210"/>
      <c r="AL24" s="211"/>
      <c r="AO24" s="170"/>
    </row>
    <row r="25" spans="2:41" ht="14" thickBot="1" x14ac:dyDescent="0.2">
      <c r="B25" s="264"/>
      <c r="C25" s="264"/>
      <c r="D25" s="263"/>
      <c r="F25" s="203" t="s">
        <v>193</v>
      </c>
      <c r="G25" s="212">
        <f>_xlfn.STDEV.S(B5:B100000)</f>
        <v>2.6443192398846707</v>
      </c>
      <c r="H25" s="200"/>
      <c r="I25" s="200"/>
      <c r="J25" s="200"/>
      <c r="K25" s="200"/>
      <c r="L25" s="200"/>
      <c r="M25" s="200"/>
      <c r="N25" s="200"/>
      <c r="O25" s="200"/>
      <c r="P25" s="289" t="s">
        <v>70</v>
      </c>
      <c r="Q25" s="289"/>
      <c r="R25" s="289"/>
      <c r="Y25" s="50">
        <v>23</v>
      </c>
      <c r="Z25" s="183">
        <f t="shared" si="0"/>
        <v>0.41324703053361173</v>
      </c>
      <c r="AA25" s="184">
        <f t="shared" si="1"/>
        <v>0.52561988377533719</v>
      </c>
      <c r="AB25" s="185">
        <f t="shared" si="2"/>
        <v>0.64023031043406398</v>
      </c>
      <c r="AD25" s="50">
        <v>23</v>
      </c>
      <c r="AE25" s="183">
        <f t="shared" si="3"/>
        <v>0.3515312309435395</v>
      </c>
      <c r="AF25" s="184">
        <f t="shared" si="4"/>
        <v>0.48151216353032611</v>
      </c>
      <c r="AG25" s="185">
        <f t="shared" si="5"/>
        <v>0.60993838779669962</v>
      </c>
      <c r="AI25" s="208" t="s">
        <v>56</v>
      </c>
      <c r="AJ25" s="213">
        <v>0.7</v>
      </c>
      <c r="AK25" s="213">
        <v>0.5</v>
      </c>
      <c r="AL25" s="214"/>
      <c r="AO25" s="170"/>
    </row>
    <row r="26" spans="2:41" x14ac:dyDescent="0.15">
      <c r="B26" s="264"/>
      <c r="C26" s="264"/>
      <c r="D26" s="263"/>
      <c r="F26" s="203" t="s">
        <v>194</v>
      </c>
      <c r="G26" s="212">
        <f>_xlfn.STDEV.S(C5:C100000)</f>
        <v>2.5166114784235836</v>
      </c>
      <c r="H26" s="212"/>
      <c r="I26" s="212"/>
      <c r="J26" s="212"/>
      <c r="K26" s="212"/>
      <c r="L26" s="212"/>
      <c r="M26" s="212"/>
      <c r="N26" s="212"/>
      <c r="O26" s="212"/>
      <c r="Y26" s="50">
        <v>24</v>
      </c>
      <c r="Z26" s="183">
        <f t="shared" si="0"/>
        <v>0.40438632243271405</v>
      </c>
      <c r="AA26" s="184">
        <f t="shared" si="1"/>
        <v>0.51510117099625907</v>
      </c>
      <c r="AB26" s="185">
        <f t="shared" si="2"/>
        <v>0.62871008165836961</v>
      </c>
      <c r="AD26" s="50">
        <v>24</v>
      </c>
      <c r="AE26" s="183">
        <f t="shared" si="3"/>
        <v>0.34378256979728666</v>
      </c>
      <c r="AF26" s="184">
        <f t="shared" si="4"/>
        <v>0.47157879467347769</v>
      </c>
      <c r="AG26" s="185">
        <f t="shared" si="5"/>
        <v>0.59859785113476904</v>
      </c>
      <c r="AI26" s="215" t="s">
        <v>57</v>
      </c>
      <c r="AJ26" s="216">
        <v>0.5</v>
      </c>
      <c r="AK26" s="216">
        <v>0.8</v>
      </c>
      <c r="AL26" s="217">
        <v>0.6</v>
      </c>
      <c r="AN26" s="170"/>
      <c r="AO26" s="170"/>
    </row>
    <row r="27" spans="2:41" x14ac:dyDescent="0.15">
      <c r="B27" s="264"/>
      <c r="C27" s="264"/>
      <c r="D27" s="263"/>
      <c r="H27" s="212"/>
      <c r="I27" s="212"/>
      <c r="J27" s="212"/>
      <c r="K27" s="212"/>
      <c r="L27" s="212"/>
      <c r="M27" s="212"/>
      <c r="N27" s="212"/>
      <c r="O27" s="212"/>
      <c r="P27" s="152"/>
      <c r="Q27" s="218" t="s">
        <v>204</v>
      </c>
      <c r="R27" s="172">
        <v>0.26</v>
      </c>
      <c r="Y27" s="50">
        <v>25</v>
      </c>
      <c r="Z27" s="183">
        <f t="shared" si="0"/>
        <v>0.39606972934697227</v>
      </c>
      <c r="AA27" s="184">
        <f t="shared" si="1"/>
        <v>0.50518183787747406</v>
      </c>
      <c r="AB27" s="185">
        <f t="shared" si="2"/>
        <v>0.61776817007897922</v>
      </c>
      <c r="AD27" s="50">
        <v>25</v>
      </c>
      <c r="AE27" s="183">
        <f t="shared" si="3"/>
        <v>0.33652351442796458</v>
      </c>
      <c r="AF27" s="184">
        <f t="shared" si="4"/>
        <v>0.46223078824465863</v>
      </c>
      <c r="AG27" s="185">
        <f t="shared" si="5"/>
        <v>0.58785025787608236</v>
      </c>
      <c r="AN27" s="170"/>
      <c r="AO27" s="170"/>
    </row>
    <row r="28" spans="2:41" x14ac:dyDescent="0.15">
      <c r="B28" s="264"/>
      <c r="C28" s="264"/>
      <c r="D28" s="263"/>
      <c r="P28" s="155"/>
      <c r="Q28" s="219" t="s">
        <v>131</v>
      </c>
      <c r="R28" s="94">
        <v>40</v>
      </c>
      <c r="Y28" s="50">
        <v>26</v>
      </c>
      <c r="Z28" s="183">
        <f t="shared" si="0"/>
        <v>0.38824399701725298</v>
      </c>
      <c r="AA28" s="184">
        <f t="shared" si="1"/>
        <v>0.49580784787634391</v>
      </c>
      <c r="AB28" s="185">
        <f t="shared" si="2"/>
        <v>0.60736007727186414</v>
      </c>
      <c r="AD28" s="50">
        <v>26</v>
      </c>
      <c r="AE28" s="183">
        <f t="shared" si="3"/>
        <v>0.32970470505691396</v>
      </c>
      <c r="AF28" s="184">
        <f t="shared" si="4"/>
        <v>0.45341334005871187</v>
      </c>
      <c r="AG28" s="185">
        <f t="shared" si="5"/>
        <v>0.57764745248993743</v>
      </c>
      <c r="AI28" s="6" t="s">
        <v>119</v>
      </c>
      <c r="AJ28" s="220">
        <v>103</v>
      </c>
      <c r="AN28" s="170"/>
      <c r="AO28" s="170"/>
    </row>
    <row r="29" spans="2:41" ht="14" thickBot="1" x14ac:dyDescent="0.2">
      <c r="B29" s="264"/>
      <c r="C29" s="264"/>
      <c r="D29" s="263"/>
      <c r="P29" s="155"/>
      <c r="Q29" s="219" t="s">
        <v>168</v>
      </c>
      <c r="R29" s="94">
        <v>4</v>
      </c>
      <c r="Y29" s="50">
        <v>27</v>
      </c>
      <c r="Z29" s="183">
        <f t="shared" si="0"/>
        <v>0.38086286008598491</v>
      </c>
      <c r="AA29" s="184">
        <f t="shared" si="1"/>
        <v>0.48693163503495157</v>
      </c>
      <c r="AB29" s="185">
        <f t="shared" si="2"/>
        <v>0.5974456142044422</v>
      </c>
      <c r="AD29" s="50">
        <v>27</v>
      </c>
      <c r="AE29" s="183">
        <f t="shared" si="3"/>
        <v>0.32328346283808579</v>
      </c>
      <c r="AF29" s="184">
        <f t="shared" si="4"/>
        <v>0.4450784990488566</v>
      </c>
      <c r="AG29" s="185">
        <f t="shared" si="5"/>
        <v>0.56794632618588192</v>
      </c>
      <c r="AI29" s="95" t="s">
        <v>118</v>
      </c>
      <c r="AJ29" s="94">
        <v>2</v>
      </c>
      <c r="AN29" s="170"/>
      <c r="AO29" s="170"/>
    </row>
    <row r="30" spans="2:41" ht="16" thickBot="1" x14ac:dyDescent="0.2">
      <c r="B30" s="264"/>
      <c r="C30" s="264"/>
      <c r="D30" s="263"/>
      <c r="P30" s="160"/>
      <c r="Q30" s="221" t="s">
        <v>205</v>
      </c>
      <c r="R30" s="222">
        <f>1-((1-R27)*(R28-1)/(R28-R29-1))</f>
        <v>0.17542857142857149</v>
      </c>
      <c r="Y30" s="50">
        <v>28</v>
      </c>
      <c r="Z30" s="183">
        <f t="shared" si="0"/>
        <v>0.37388591108593577</v>
      </c>
      <c r="AA30" s="184">
        <f t="shared" si="1"/>
        <v>0.47851116040367753</v>
      </c>
      <c r="AB30" s="185">
        <f t="shared" si="2"/>
        <v>0.58798844403250328</v>
      </c>
      <c r="AD30" s="50">
        <v>28</v>
      </c>
      <c r="AE30" s="183">
        <f t="shared" si="3"/>
        <v>0.31722267314185132</v>
      </c>
      <c r="AF30" s="184">
        <f t="shared" si="4"/>
        <v>0.43718411569164783</v>
      </c>
      <c r="AG30" s="185">
        <f t="shared" si="5"/>
        <v>0.55870820396941545</v>
      </c>
      <c r="AI30" s="37" t="s">
        <v>114</v>
      </c>
      <c r="AJ30" s="223">
        <f>AK39</f>
        <v>-1.4079413332408222</v>
      </c>
      <c r="AO30" s="170"/>
    </row>
    <row r="31" spans="2:41" ht="16" thickBot="1" x14ac:dyDescent="0.2">
      <c r="B31" s="264"/>
      <c r="C31" s="264"/>
      <c r="D31" s="263"/>
      <c r="Y31" s="50">
        <v>29</v>
      </c>
      <c r="Z31" s="183">
        <f t="shared" si="0"/>
        <v>0.36727768424152735</v>
      </c>
      <c r="AA31" s="184">
        <f t="shared" si="1"/>
        <v>0.47050912724460853</v>
      </c>
      <c r="AB31" s="185">
        <f t="shared" si="2"/>
        <v>0.57895566717417679</v>
      </c>
      <c r="AD31" s="50">
        <v>29</v>
      </c>
      <c r="AE31" s="183">
        <f t="shared" si="3"/>
        <v>0.3114898882850527</v>
      </c>
      <c r="AF31" s="184">
        <f t="shared" si="4"/>
        <v>0.42969297864188305</v>
      </c>
      <c r="AG31" s="185">
        <f t="shared" si="5"/>
        <v>0.54989830953137953</v>
      </c>
      <c r="AI31" s="32" t="s">
        <v>122</v>
      </c>
      <c r="AJ31" s="191">
        <f>AJ29 * (1 - NORMSDIST(ABS(AJ30)))</f>
        <v>0.15914844254045635</v>
      </c>
      <c r="AL31" s="224"/>
      <c r="AO31" s="151"/>
    </row>
    <row r="32" spans="2:41" x14ac:dyDescent="0.15">
      <c r="B32" s="264"/>
      <c r="C32" s="264"/>
      <c r="D32" s="263"/>
      <c r="Y32" s="50">
        <v>30</v>
      </c>
      <c r="Z32" s="183">
        <f t="shared" si="0"/>
        <v>0.36100690773323296</v>
      </c>
      <c r="AA32" s="184">
        <f t="shared" si="1"/>
        <v>0.46289232537625097</v>
      </c>
      <c r="AB32" s="185">
        <f t="shared" si="2"/>
        <v>0.57031744900653614</v>
      </c>
      <c r="AD32" s="50">
        <v>30</v>
      </c>
      <c r="AE32" s="183">
        <f t="shared" si="3"/>
        <v>0.30605660061930101</v>
      </c>
      <c r="AF32" s="184">
        <f t="shared" si="4"/>
        <v>0.42257210161189268</v>
      </c>
      <c r="AG32" s="185">
        <f t="shared" si="5"/>
        <v>0.54148529954917568</v>
      </c>
      <c r="AO32" s="225"/>
    </row>
    <row r="33" spans="2:41" x14ac:dyDescent="0.15">
      <c r="B33" s="264"/>
      <c r="C33" s="264"/>
      <c r="D33" s="263"/>
      <c r="Y33" s="50">
        <v>32</v>
      </c>
      <c r="Z33" s="183">
        <f t="shared" si="0"/>
        <v>0.34937000727708717</v>
      </c>
      <c r="AA33" s="184">
        <f t="shared" si="1"/>
        <v>0.44869879264711943</v>
      </c>
      <c r="AB33" s="185">
        <f t="shared" si="2"/>
        <v>0.55411872252272498</v>
      </c>
      <c r="AD33" s="50">
        <v>32</v>
      </c>
      <c r="AE33" s="183">
        <f t="shared" si="3"/>
        <v>0.29599073141338161</v>
      </c>
      <c r="AF33" s="184">
        <f t="shared" si="4"/>
        <v>0.40932685072785913</v>
      </c>
      <c r="AG33" s="185">
        <f t="shared" si="5"/>
        <v>0.52573934928827937</v>
      </c>
      <c r="AJ33" s="53" t="s">
        <v>214</v>
      </c>
      <c r="AK33" s="226">
        <f>(AJ24+AL26)/2</f>
        <v>0.55000000000000004</v>
      </c>
      <c r="AO33" s="225"/>
    </row>
    <row r="34" spans="2:41" x14ac:dyDescent="0.15">
      <c r="B34" s="264"/>
      <c r="C34" s="264"/>
      <c r="D34" s="263"/>
      <c r="Y34" s="50">
        <v>34</v>
      </c>
      <c r="Z34" s="183">
        <f t="shared" si="0"/>
        <v>0.33878805389648536</v>
      </c>
      <c r="AA34" s="184">
        <f t="shared" si="1"/>
        <v>0.435727744763519</v>
      </c>
      <c r="AB34" s="185">
        <f t="shared" si="2"/>
        <v>0.53920319235176717</v>
      </c>
      <c r="AD34" s="50">
        <v>34</v>
      </c>
      <c r="AE34" s="183">
        <f t="shared" si="3"/>
        <v>0.28685572607668408</v>
      </c>
      <c r="AF34" s="184">
        <f t="shared" si="4"/>
        <v>0.39724875820276762</v>
      </c>
      <c r="AG34" s="185">
        <f t="shared" si="5"/>
        <v>0.51127415693528711</v>
      </c>
      <c r="AJ34" s="53" t="s">
        <v>215</v>
      </c>
      <c r="AK34" s="226">
        <f>0.5*((AJ25-AJ24*AK25)*(AK26-AK25*AL26)+(AJ26-AJ25*AL26)*(AK25-AJ24*AJ25)+(AJ25-AJ26*AL26)*(AK26-AJ24*AJ26)+(AJ26-AJ24*AK26)*(AK25-AK26*AL26))</f>
        <v>0.22949999999999998</v>
      </c>
      <c r="AO34" s="225"/>
    </row>
    <row r="35" spans="2:41" ht="15" x14ac:dyDescent="0.15">
      <c r="B35" s="264"/>
      <c r="C35" s="264"/>
      <c r="D35" s="263"/>
      <c r="Y35" s="50">
        <v>36</v>
      </c>
      <c r="Z35" s="183">
        <f t="shared" si="0"/>
        <v>0.32911104322288848</v>
      </c>
      <c r="AA35" s="184">
        <f t="shared" si="1"/>
        <v>0.42381429398697329</v>
      </c>
      <c r="AB35" s="185">
        <f t="shared" si="2"/>
        <v>0.52541318565473938</v>
      </c>
      <c r="AD35" s="50">
        <v>36</v>
      </c>
      <c r="AE35" s="183">
        <f t="shared" si="3"/>
        <v>0.27851658087168879</v>
      </c>
      <c r="AF35" s="184">
        <f t="shared" si="4"/>
        <v>0.38617659141300592</v>
      </c>
      <c r="AG35" s="185">
        <f t="shared" si="5"/>
        <v>0.49792747553344541</v>
      </c>
      <c r="AJ35" s="53" t="s">
        <v>216</v>
      </c>
      <c r="AK35" s="226">
        <f>AK34/((1-AJ24^2)*(1-AL26^2))</f>
        <v>0.47812499999999997</v>
      </c>
      <c r="AL35" s="224"/>
      <c r="AO35" s="227"/>
    </row>
    <row r="36" spans="2:41" x14ac:dyDescent="0.15">
      <c r="B36" s="264"/>
      <c r="C36" s="264"/>
      <c r="D36" s="263"/>
      <c r="Y36" s="50">
        <v>38</v>
      </c>
      <c r="Z36" s="183">
        <f t="shared" si="0"/>
        <v>0.3202171692180445</v>
      </c>
      <c r="AA36" s="184">
        <f t="shared" si="1"/>
        <v>0.41282289653315407</v>
      </c>
      <c r="AB36" s="185">
        <f t="shared" si="2"/>
        <v>0.51261626327943632</v>
      </c>
      <c r="AD36" s="50">
        <v>38</v>
      </c>
      <c r="AE36" s="183">
        <f t="shared" si="3"/>
        <v>0.27086417562923354</v>
      </c>
      <c r="AF36" s="184">
        <f t="shared" si="4"/>
        <v>0.37597854365405303</v>
      </c>
      <c r="AG36" s="185">
        <f t="shared" si="5"/>
        <v>0.48556398281834817</v>
      </c>
      <c r="AJ36" s="53" t="s">
        <v>217</v>
      </c>
      <c r="AK36" s="226">
        <f>ATANH(AJ24)</f>
        <v>0.54930614433405489</v>
      </c>
    </row>
    <row r="37" spans="2:41" x14ac:dyDescent="0.15">
      <c r="B37" s="264"/>
      <c r="C37" s="264"/>
      <c r="D37" s="263"/>
      <c r="Y37" s="50">
        <v>40</v>
      </c>
      <c r="Z37" s="183">
        <f t="shared" ref="Z37:Z54" si="7">SQRT((TINV(0.05,$Y37-2)^2)/(TINV(0.05,$Y37-2)^2+$Y37-2))</f>
        <v>0.31200636866846765</v>
      </c>
      <c r="AA37" s="184">
        <f t="shared" ref="AA37:AA54" si="8">SQRT((TINV(0.01,$Y37-2)^2)/(TINV(0.01,$Y37-2)^2+$Y37-2))</f>
        <v>0.40264100829758259</v>
      </c>
      <c r="AB37" s="185">
        <f t="shared" ref="AB37:AB54" si="9">SQRT((TINV(0.001,$Y37-2)^2)/(TINV(0.001,$Y37-2)^2+$Y37-2))</f>
        <v>0.50070040150856276</v>
      </c>
      <c r="AD37" s="50">
        <v>40</v>
      </c>
      <c r="AE37" s="183">
        <f t="shared" ref="AE37:AE54" si="10">SQRT((TINV(0.1,$Y37-2)^2)/(TINV(0.1,$Y37-2)^2+$Y37-2))</f>
        <v>0.26380923026347836</v>
      </c>
      <c r="AF37" s="184">
        <f t="shared" ref="AF37:AF54" si="11">SQRT((TINV(0.02,$Y37-2)^2)/(TINV(0.02,$Y37-2)^2+$Y37-2))</f>
        <v>0.36654569932006287</v>
      </c>
      <c r="AG37" s="185">
        <f t="shared" ref="AG37:AG54" si="12">SQRT((TINV(0.002,$Y37-2)^2)/(TINV(0.002,$Y37-2)^2+$Y37-2))</f>
        <v>0.47406990459429627</v>
      </c>
      <c r="AJ37" s="53" t="s">
        <v>218</v>
      </c>
      <c r="AK37" s="226">
        <f>ATANH(AL26)</f>
        <v>0.69314718055994529</v>
      </c>
    </row>
    <row r="38" spans="2:41" x14ac:dyDescent="0.15">
      <c r="B38" s="264"/>
      <c r="C38" s="264"/>
      <c r="D38" s="263"/>
      <c r="Y38" s="50">
        <v>42</v>
      </c>
      <c r="Z38" s="183">
        <f t="shared" si="7"/>
        <v>0.3043955812853183</v>
      </c>
      <c r="AA38" s="184">
        <f t="shared" si="8"/>
        <v>0.39317432821060738</v>
      </c>
      <c r="AB38" s="185">
        <f t="shared" si="9"/>
        <v>0.48957021110841925</v>
      </c>
      <c r="AD38" s="50">
        <v>42</v>
      </c>
      <c r="AE38" s="183">
        <f t="shared" si="10"/>
        <v>0.25727789942971147</v>
      </c>
      <c r="AF38" s="184">
        <f t="shared" si="11"/>
        <v>0.35778718208168619</v>
      </c>
      <c r="AG38" s="185">
        <f t="shared" si="12"/>
        <v>0.46334886480012755</v>
      </c>
      <c r="AJ38" s="53" t="s">
        <v>219</v>
      </c>
      <c r="AK38" s="226">
        <f>2*AK35</f>
        <v>0.95624999999999993</v>
      </c>
    </row>
    <row r="39" spans="2:41" x14ac:dyDescent="0.15">
      <c r="B39" s="264"/>
      <c r="C39" s="264"/>
      <c r="D39" s="263"/>
      <c r="X39" s="50"/>
      <c r="Y39" s="50">
        <v>44</v>
      </c>
      <c r="Z39" s="183">
        <f t="shared" si="7"/>
        <v>0.29731521236516828</v>
      </c>
      <c r="AA39" s="184">
        <f t="shared" si="8"/>
        <v>0.38434318374055448</v>
      </c>
      <c r="AB39" s="185">
        <f t="shared" si="9"/>
        <v>0.47914395321012876</v>
      </c>
      <c r="AD39" s="50">
        <v>44</v>
      </c>
      <c r="AE39" s="183">
        <f t="shared" si="10"/>
        <v>0.25120850562531888</v>
      </c>
      <c r="AF39" s="184">
        <f t="shared" si="11"/>
        <v>0.34962649890290365</v>
      </c>
      <c r="AG39" s="185">
        <f t="shared" si="12"/>
        <v>0.45331865411409772</v>
      </c>
      <c r="AJ39" s="53" t="s">
        <v>220</v>
      </c>
      <c r="AK39" s="226">
        <f>SQRT(AJ28-3)*(AK36-AK37)/SQRT(2-AK38)</f>
        <v>-1.4079413332408222</v>
      </c>
    </row>
    <row r="40" spans="2:41" x14ac:dyDescent="0.15">
      <c r="B40" s="264"/>
      <c r="C40" s="264"/>
      <c r="D40" s="263"/>
      <c r="X40" s="50"/>
      <c r="Y40" s="50">
        <v>46</v>
      </c>
      <c r="Z40" s="183">
        <f t="shared" si="7"/>
        <v>0.29070645389797284</v>
      </c>
      <c r="AA40" s="184">
        <f t="shared" si="8"/>
        <v>0.37607975011258782</v>
      </c>
      <c r="AB40" s="185">
        <f t="shared" si="9"/>
        <v>0.46935116862564358</v>
      </c>
      <c r="AD40" s="50">
        <v>46</v>
      </c>
      <c r="AE40" s="183">
        <f t="shared" si="10"/>
        <v>0.24554907889371344</v>
      </c>
      <c r="AF40" s="184">
        <f t="shared" si="11"/>
        <v>0.34199874778825384</v>
      </c>
      <c r="AG40" s="185">
        <f t="shared" si="12"/>
        <v>0.44390869157895135</v>
      </c>
    </row>
    <row r="41" spans="2:41" x14ac:dyDescent="0.15">
      <c r="B41" s="264"/>
      <c r="C41" s="264"/>
      <c r="D41" s="263"/>
      <c r="X41" s="50"/>
      <c r="Y41" s="50">
        <v>48</v>
      </c>
      <c r="Z41" s="183">
        <f t="shared" si="7"/>
        <v>0.28451922865993934</v>
      </c>
      <c r="AA41" s="184">
        <f t="shared" si="8"/>
        <v>0.36832588640348018</v>
      </c>
      <c r="AB41" s="185">
        <f t="shared" si="9"/>
        <v>0.46013078153421544</v>
      </c>
      <c r="AD41" s="50">
        <v>48</v>
      </c>
      <c r="AE41" s="183">
        <f t="shared" si="10"/>
        <v>0.24025547803201233</v>
      </c>
      <c r="AF41" s="184">
        <f t="shared" si="11"/>
        <v>0.33484845880960418</v>
      </c>
      <c r="AG41" s="185">
        <f t="shared" si="12"/>
        <v>0.43505801345103928</v>
      </c>
    </row>
    <row r="42" spans="2:41" x14ac:dyDescent="0.15">
      <c r="B42" s="264"/>
      <c r="C42" s="264"/>
      <c r="D42" s="263"/>
      <c r="X42" s="50"/>
      <c r="Y42" s="50">
        <v>50</v>
      </c>
      <c r="Z42" s="183">
        <f t="shared" si="7"/>
        <v>0.27871059323051656</v>
      </c>
      <c r="AA42" s="184">
        <f t="shared" si="8"/>
        <v>0.361031433850735</v>
      </c>
      <c r="AB42" s="185">
        <f t="shared" si="9"/>
        <v>0.45142957210901435</v>
      </c>
      <c r="AD42" s="50">
        <v>50</v>
      </c>
      <c r="AE42" s="183">
        <f t="shared" si="10"/>
        <v>0.23528993765768536</v>
      </c>
      <c r="AF42" s="184">
        <f t="shared" si="11"/>
        <v>0.32812790587541946</v>
      </c>
      <c r="AG42" s="185">
        <f t="shared" si="12"/>
        <v>0.42671366657499132</v>
      </c>
    </row>
    <row r="43" spans="2:41" x14ac:dyDescent="0.15">
      <c r="B43" s="264"/>
      <c r="C43" s="264"/>
      <c r="D43" s="263"/>
      <c r="X43" s="50"/>
      <c r="Y43" s="193">
        <v>55</v>
      </c>
      <c r="Z43" s="183">
        <f t="shared" si="7"/>
        <v>0.26561392412002244</v>
      </c>
      <c r="AA43" s="184">
        <f t="shared" si="8"/>
        <v>0.34453300924355806</v>
      </c>
      <c r="AB43" s="185">
        <f t="shared" si="9"/>
        <v>0.43165571168353356</v>
      </c>
      <c r="AD43" s="193">
        <v>55</v>
      </c>
      <c r="AE43" s="183">
        <f t="shared" si="10"/>
        <v>0.22410840138018387</v>
      </c>
      <c r="AF43" s="184">
        <f t="shared" si="11"/>
        <v>0.3129484237531695</v>
      </c>
      <c r="AG43" s="185">
        <f t="shared" si="12"/>
        <v>0.40777830716270758</v>
      </c>
    </row>
    <row r="44" spans="2:41" x14ac:dyDescent="0.15">
      <c r="B44" s="264"/>
      <c r="C44" s="264"/>
      <c r="D44" s="263"/>
      <c r="X44" s="50"/>
      <c r="Y44" s="193">
        <v>60</v>
      </c>
      <c r="Z44" s="183">
        <f t="shared" si="7"/>
        <v>0.25420428544088608</v>
      </c>
      <c r="AA44" s="184">
        <f t="shared" si="8"/>
        <v>0.33010377652365497</v>
      </c>
      <c r="AB44" s="185">
        <f t="shared" si="9"/>
        <v>0.41425986394281239</v>
      </c>
      <c r="AD44" s="193">
        <v>60</v>
      </c>
      <c r="AE44" s="183">
        <f t="shared" si="10"/>
        <v>0.21438254065058954</v>
      </c>
      <c r="AF44" s="184">
        <f t="shared" si="11"/>
        <v>0.29969534436949774</v>
      </c>
      <c r="AG44" s="185">
        <f t="shared" si="12"/>
        <v>0.39115003348310556</v>
      </c>
    </row>
    <row r="45" spans="2:41" x14ac:dyDescent="0.15">
      <c r="B45" s="264"/>
      <c r="C45" s="264"/>
      <c r="D45" s="263"/>
      <c r="X45" s="50"/>
      <c r="Y45" s="193">
        <v>65</v>
      </c>
      <c r="Z45" s="183">
        <f t="shared" si="7"/>
        <v>0.24414824313447644</v>
      </c>
      <c r="AA45" s="184">
        <f t="shared" si="8"/>
        <v>0.3173451645440416</v>
      </c>
      <c r="AB45" s="185">
        <f t="shared" si="9"/>
        <v>0.39880277273247089</v>
      </c>
      <c r="AD45" s="193">
        <v>65</v>
      </c>
      <c r="AE45" s="183">
        <f t="shared" si="10"/>
        <v>0.20582174864473382</v>
      </c>
      <c r="AF45" s="184">
        <f t="shared" si="11"/>
        <v>0.28799331996718575</v>
      </c>
      <c r="AG45" s="185">
        <f t="shared" si="12"/>
        <v>0.37639701713703477</v>
      </c>
    </row>
    <row r="46" spans="2:41" ht="12.75" customHeight="1" x14ac:dyDescent="0.15">
      <c r="B46" s="264"/>
      <c r="C46" s="264"/>
      <c r="D46" s="263"/>
      <c r="X46" s="50"/>
      <c r="Y46" s="193">
        <v>70</v>
      </c>
      <c r="Z46" s="183">
        <f t="shared" si="7"/>
        <v>0.23519783987894702</v>
      </c>
      <c r="AA46" s="184">
        <f t="shared" si="8"/>
        <v>0.30595826117549135</v>
      </c>
      <c r="AB46" s="185">
        <f t="shared" si="9"/>
        <v>0.38495048699838108</v>
      </c>
      <c r="AD46" s="193">
        <v>70</v>
      </c>
      <c r="AE46" s="183">
        <f t="shared" si="10"/>
        <v>0.19821063014921314</v>
      </c>
      <c r="AF46" s="184">
        <f t="shared" si="11"/>
        <v>0.2775619109354644</v>
      </c>
      <c r="AG46" s="185">
        <f t="shared" si="12"/>
        <v>0.36319236099562918</v>
      </c>
    </row>
    <row r="47" spans="2:41" ht="12.75" customHeight="1" x14ac:dyDescent="0.15">
      <c r="B47" s="264"/>
      <c r="C47" s="264"/>
      <c r="D47" s="263"/>
      <c r="X47" s="50"/>
      <c r="Y47" s="193">
        <v>75</v>
      </c>
      <c r="Z47" s="183">
        <f t="shared" si="7"/>
        <v>0.22716435232311163</v>
      </c>
      <c r="AA47" s="184">
        <f t="shared" si="8"/>
        <v>0.29571394907491244</v>
      </c>
      <c r="AB47" s="185">
        <f t="shared" si="9"/>
        <v>0.37244411785569587</v>
      </c>
      <c r="AD47" s="193">
        <v>75</v>
      </c>
      <c r="AE47" s="183">
        <f t="shared" si="10"/>
        <v>0.19138569910158168</v>
      </c>
      <c r="AF47" s="184">
        <f t="shared" si="11"/>
        <v>0.26818683190213505</v>
      </c>
      <c r="AG47" s="185">
        <f t="shared" si="12"/>
        <v>0.35128354283950669</v>
      </c>
    </row>
    <row r="48" spans="2:41" ht="12.75" customHeight="1" x14ac:dyDescent="0.15">
      <c r="B48" s="264"/>
      <c r="C48" s="264"/>
      <c r="D48" s="263"/>
      <c r="X48" s="50"/>
      <c r="Y48" s="193">
        <v>80</v>
      </c>
      <c r="Z48" s="183">
        <f t="shared" si="7"/>
        <v>0.21990126436143378</v>
      </c>
      <c r="AA48" s="184">
        <f t="shared" si="8"/>
        <v>0.2864332841570818</v>
      </c>
      <c r="AB48" s="185">
        <f t="shared" si="9"/>
        <v>0.36107953018072292</v>
      </c>
      <c r="AD48" s="193">
        <v>80</v>
      </c>
      <c r="AE48" s="183">
        <f t="shared" si="10"/>
        <v>0.18522033133906399</v>
      </c>
      <c r="AF48" s="184">
        <f t="shared" si="11"/>
        <v>0.25970116649476654</v>
      </c>
      <c r="AG48" s="185">
        <f t="shared" si="12"/>
        <v>0.34047204138850223</v>
      </c>
    </row>
    <row r="49" spans="2:33" ht="12.75" customHeight="1" x14ac:dyDescent="0.15">
      <c r="B49" s="264"/>
      <c r="C49" s="264"/>
      <c r="D49" s="263"/>
      <c r="X49" s="50"/>
      <c r="Y49" s="193">
        <v>100</v>
      </c>
      <c r="Z49" s="183">
        <f t="shared" si="7"/>
        <v>0.19655119559322537</v>
      </c>
      <c r="AA49" s="184">
        <f t="shared" si="8"/>
        <v>0.2564834516707527</v>
      </c>
      <c r="AB49" s="185">
        <f t="shared" si="9"/>
        <v>0.3241939699021012</v>
      </c>
      <c r="AD49" s="193">
        <v>100</v>
      </c>
      <c r="AE49" s="183">
        <f t="shared" si="10"/>
        <v>0.16542979583854522</v>
      </c>
      <c r="AF49" s="184">
        <f t="shared" si="11"/>
        <v>0.23236241795930168</v>
      </c>
      <c r="AG49" s="185">
        <f t="shared" si="12"/>
        <v>0.30544295531587934</v>
      </c>
    </row>
    <row r="50" spans="2:33" ht="12.75" customHeight="1" x14ac:dyDescent="0.15">
      <c r="B50" s="264"/>
      <c r="C50" s="264"/>
      <c r="D50" s="263"/>
      <c r="X50" s="50"/>
      <c r="Y50" s="193">
        <v>125</v>
      </c>
      <c r="Z50" s="183">
        <f t="shared" si="7"/>
        <v>0.17570338969133967</v>
      </c>
      <c r="AA50" s="184">
        <f t="shared" si="8"/>
        <v>0.2296092151018185</v>
      </c>
      <c r="AB50" s="185">
        <f t="shared" si="9"/>
        <v>0.29084623761890205</v>
      </c>
      <c r="AD50" s="193">
        <v>125</v>
      </c>
      <c r="AE50" s="183">
        <f t="shared" si="10"/>
        <v>0.14779585674656714</v>
      </c>
      <c r="AF50" s="184">
        <f t="shared" si="11"/>
        <v>0.20788476733896352</v>
      </c>
      <c r="AG50" s="185">
        <f t="shared" si="12"/>
        <v>0.27384630882777794</v>
      </c>
    </row>
    <row r="51" spans="2:33" ht="12.75" customHeight="1" x14ac:dyDescent="0.15">
      <c r="B51" s="264"/>
      <c r="C51" s="264"/>
      <c r="D51" s="263"/>
      <c r="X51" s="50"/>
      <c r="Y51" s="193">
        <v>150</v>
      </c>
      <c r="Z51" s="183">
        <f t="shared" si="7"/>
        <v>0.16033478035857637</v>
      </c>
      <c r="AA51" s="184">
        <f t="shared" si="8"/>
        <v>0.20972565662525625</v>
      </c>
      <c r="AB51" s="185">
        <f t="shared" si="9"/>
        <v>0.26603730282619031</v>
      </c>
      <c r="AD51" s="193">
        <v>150</v>
      </c>
      <c r="AE51" s="183">
        <f t="shared" si="10"/>
        <v>0.13481568105080924</v>
      </c>
      <c r="AF51" s="184">
        <f t="shared" si="11"/>
        <v>0.1898032916214048</v>
      </c>
      <c r="AG51" s="185">
        <f t="shared" si="12"/>
        <v>0.2503794322506715</v>
      </c>
    </row>
    <row r="52" spans="2:33" ht="12.75" customHeight="1" x14ac:dyDescent="0.15">
      <c r="B52" s="264"/>
      <c r="C52" s="264"/>
      <c r="D52" s="263"/>
      <c r="X52" s="50"/>
      <c r="Y52" s="193">
        <v>200</v>
      </c>
      <c r="Z52" s="183">
        <f t="shared" si="7"/>
        <v>0.1387888539150402</v>
      </c>
      <c r="AA52" s="184">
        <f t="shared" si="8"/>
        <v>0.1817582263880653</v>
      </c>
      <c r="AB52" s="185">
        <f t="shared" si="9"/>
        <v>0.2309689509104107</v>
      </c>
      <c r="AD52" s="193">
        <v>200</v>
      </c>
      <c r="AE52" s="183">
        <f t="shared" si="10"/>
        <v>0.11664248012333285</v>
      </c>
      <c r="AF52" s="184">
        <f t="shared" si="11"/>
        <v>0.16440720389593977</v>
      </c>
      <c r="AG52" s="185">
        <f t="shared" si="12"/>
        <v>0.21725817635957612</v>
      </c>
    </row>
    <row r="53" spans="2:33" ht="12.75" customHeight="1" x14ac:dyDescent="0.15">
      <c r="B53" s="264"/>
      <c r="C53" s="264"/>
      <c r="D53" s="263"/>
      <c r="X53" s="50"/>
      <c r="Y53" s="193">
        <v>400</v>
      </c>
      <c r="Z53" s="183">
        <f t="shared" si="7"/>
        <v>9.8068767908978005E-2</v>
      </c>
      <c r="AA53" s="184">
        <f t="shared" si="8"/>
        <v>0.12865842282347603</v>
      </c>
      <c r="AB53" s="185">
        <f t="shared" si="9"/>
        <v>0.16392505371418792</v>
      </c>
      <c r="AD53" s="193">
        <v>400</v>
      </c>
      <c r="AE53" s="183">
        <f t="shared" si="10"/>
        <v>8.236065437132567E-2</v>
      </c>
      <c r="AF53" s="184">
        <f t="shared" si="11"/>
        <v>0.11628644104884145</v>
      </c>
      <c r="AG53" s="185">
        <f t="shared" si="12"/>
        <v>0.15407021988947517</v>
      </c>
    </row>
    <row r="54" spans="2:33" ht="12.75" customHeight="1" thickBot="1" x14ac:dyDescent="0.2">
      <c r="B54" s="264"/>
      <c r="C54" s="264"/>
      <c r="D54" s="263"/>
      <c r="X54" s="50"/>
      <c r="Y54" s="193">
        <v>1000</v>
      </c>
      <c r="Z54" s="228">
        <f t="shared" si="7"/>
        <v>6.1997415383375443E-2</v>
      </c>
      <c r="AA54" s="229">
        <f t="shared" si="8"/>
        <v>8.1421436483620477E-2</v>
      </c>
      <c r="AB54" s="230">
        <f t="shared" si="9"/>
        <v>0.10390378724565906</v>
      </c>
      <c r="AD54" s="193">
        <v>1000</v>
      </c>
      <c r="AE54" s="228">
        <f t="shared" si="10"/>
        <v>5.2044678790327627E-2</v>
      </c>
      <c r="AF54" s="229">
        <f t="shared" si="11"/>
        <v>7.3557902081593421E-2</v>
      </c>
      <c r="AG54" s="230">
        <f t="shared" si="12"/>
        <v>9.761037150809472E-2</v>
      </c>
    </row>
    <row r="55" spans="2:33" ht="12.75" customHeight="1" x14ac:dyDescent="0.15">
      <c r="B55" s="264"/>
      <c r="C55" s="264"/>
      <c r="D55" s="263"/>
      <c r="X55" s="50"/>
    </row>
    <row r="56" spans="2:33" ht="12.75" customHeight="1" x14ac:dyDescent="0.15">
      <c r="B56" s="264"/>
      <c r="C56" s="264"/>
      <c r="D56" s="263"/>
    </row>
    <row r="57" spans="2:33" ht="12.75" customHeight="1" x14ac:dyDescent="0.15">
      <c r="B57" s="264"/>
      <c r="C57" s="264"/>
      <c r="D57" s="263"/>
    </row>
    <row r="58" spans="2:33" ht="12.75" customHeight="1" x14ac:dyDescent="0.15">
      <c r="B58" s="264"/>
      <c r="C58" s="264"/>
      <c r="D58" s="263"/>
    </row>
    <row r="59" spans="2:33" ht="12.75" customHeight="1" x14ac:dyDescent="0.15">
      <c r="B59" s="264"/>
      <c r="C59" s="264"/>
      <c r="D59" s="263"/>
    </row>
    <row r="60" spans="2:33" ht="12.75" customHeight="1" x14ac:dyDescent="0.15">
      <c r="B60" s="264"/>
      <c r="C60" s="264"/>
      <c r="D60" s="263"/>
    </row>
    <row r="61" spans="2:33" ht="12.75" customHeight="1" x14ac:dyDescent="0.15">
      <c r="B61" s="264"/>
      <c r="C61" s="264"/>
      <c r="D61" s="263"/>
    </row>
    <row r="62" spans="2:33" ht="12.75" customHeight="1" x14ac:dyDescent="0.15">
      <c r="B62" s="264"/>
      <c r="C62" s="264"/>
      <c r="D62" s="263"/>
    </row>
    <row r="63" spans="2:33" ht="12.75" customHeight="1" x14ac:dyDescent="0.15">
      <c r="B63" s="264"/>
      <c r="C63" s="264"/>
      <c r="D63" s="263"/>
    </row>
    <row r="64" spans="2:33" ht="12.75" customHeight="1" x14ac:dyDescent="0.15">
      <c r="B64" s="264"/>
      <c r="C64" s="264"/>
      <c r="D64" s="263"/>
    </row>
    <row r="65" spans="2:4" ht="12.75" customHeight="1" x14ac:dyDescent="0.15">
      <c r="B65" s="264"/>
      <c r="C65" s="264"/>
      <c r="D65" s="263"/>
    </row>
    <row r="66" spans="2:4" ht="12.75" customHeight="1" x14ac:dyDescent="0.15">
      <c r="B66" s="264"/>
      <c r="C66" s="264"/>
      <c r="D66" s="263"/>
    </row>
    <row r="67" spans="2:4" x14ac:dyDescent="0.15">
      <c r="B67" s="264"/>
      <c r="C67" s="264"/>
      <c r="D67" s="263"/>
    </row>
    <row r="68" spans="2:4" x14ac:dyDescent="0.15">
      <c r="B68" s="264"/>
      <c r="C68" s="264"/>
      <c r="D68" s="263"/>
    </row>
    <row r="69" spans="2:4" x14ac:dyDescent="0.15">
      <c r="B69" s="264"/>
      <c r="C69" s="264"/>
      <c r="D69" s="263"/>
    </row>
    <row r="70" spans="2:4" x14ac:dyDescent="0.15">
      <c r="B70" s="264"/>
      <c r="C70" s="264"/>
      <c r="D70" s="263"/>
    </row>
    <row r="71" spans="2:4" x14ac:dyDescent="0.15">
      <c r="B71" s="264"/>
      <c r="C71" s="264"/>
      <c r="D71" s="263"/>
    </row>
    <row r="72" spans="2:4" x14ac:dyDescent="0.15">
      <c r="B72" s="264"/>
      <c r="C72" s="264"/>
      <c r="D72" s="263"/>
    </row>
    <row r="73" spans="2:4" x14ac:dyDescent="0.15">
      <c r="B73" s="264"/>
      <c r="C73" s="264"/>
      <c r="D73" s="263"/>
    </row>
    <row r="74" spans="2:4" x14ac:dyDescent="0.15">
      <c r="B74" s="264"/>
      <c r="C74" s="264"/>
      <c r="D74" s="263"/>
    </row>
    <row r="75" spans="2:4" x14ac:dyDescent="0.15">
      <c r="B75" s="264"/>
      <c r="C75" s="264"/>
      <c r="D75" s="263"/>
    </row>
    <row r="76" spans="2:4" x14ac:dyDescent="0.15">
      <c r="B76" s="264"/>
      <c r="C76" s="264"/>
      <c r="D76" s="263"/>
    </row>
    <row r="77" spans="2:4" x14ac:dyDescent="0.15">
      <c r="B77" s="264"/>
      <c r="C77" s="264"/>
      <c r="D77" s="263"/>
    </row>
    <row r="78" spans="2:4" x14ac:dyDescent="0.15">
      <c r="B78" s="264"/>
      <c r="C78" s="264"/>
      <c r="D78" s="263"/>
    </row>
    <row r="79" spans="2:4" x14ac:dyDescent="0.15">
      <c r="B79" s="264"/>
      <c r="C79" s="264"/>
      <c r="D79" s="263"/>
    </row>
    <row r="80" spans="2:4" x14ac:dyDescent="0.15">
      <c r="B80" s="264"/>
      <c r="C80" s="264"/>
      <c r="D80" s="263"/>
    </row>
    <row r="81" spans="2:4" x14ac:dyDescent="0.15">
      <c r="B81" s="264"/>
      <c r="C81" s="264"/>
      <c r="D81" s="263"/>
    </row>
    <row r="82" spans="2:4" x14ac:dyDescent="0.15">
      <c r="B82" s="264"/>
      <c r="C82" s="264"/>
      <c r="D82" s="263"/>
    </row>
    <row r="83" spans="2:4" x14ac:dyDescent="0.15">
      <c r="B83" s="264"/>
      <c r="C83" s="264"/>
      <c r="D83" s="263"/>
    </row>
    <row r="84" spans="2:4" x14ac:dyDescent="0.15">
      <c r="B84" s="264"/>
      <c r="C84" s="264"/>
      <c r="D84" s="263"/>
    </row>
    <row r="85" spans="2:4" x14ac:dyDescent="0.15">
      <c r="B85" s="264"/>
      <c r="C85" s="264"/>
      <c r="D85" s="263"/>
    </row>
    <row r="86" spans="2:4" x14ac:dyDescent="0.15">
      <c r="B86" s="264"/>
      <c r="C86" s="264"/>
      <c r="D86" s="263"/>
    </row>
    <row r="87" spans="2:4" x14ac:dyDescent="0.15">
      <c r="B87" s="264"/>
      <c r="C87" s="264"/>
      <c r="D87" s="263"/>
    </row>
    <row r="88" spans="2:4" x14ac:dyDescent="0.15">
      <c r="B88" s="264"/>
      <c r="C88" s="264"/>
      <c r="D88" s="263"/>
    </row>
    <row r="89" spans="2:4" x14ac:dyDescent="0.15">
      <c r="B89" s="264"/>
      <c r="C89" s="264"/>
      <c r="D89" s="263"/>
    </row>
    <row r="90" spans="2:4" x14ac:dyDescent="0.15">
      <c r="B90" s="264"/>
      <c r="C90" s="264"/>
      <c r="D90" s="263"/>
    </row>
    <row r="91" spans="2:4" x14ac:dyDescent="0.15">
      <c r="B91" s="264"/>
      <c r="C91" s="264"/>
      <c r="D91" s="263"/>
    </row>
    <row r="92" spans="2:4" x14ac:dyDescent="0.15">
      <c r="B92" s="264"/>
      <c r="C92" s="264"/>
      <c r="D92" s="263"/>
    </row>
    <row r="93" spans="2:4" x14ac:dyDescent="0.15">
      <c r="B93" s="264"/>
      <c r="C93" s="264"/>
      <c r="D93" s="263"/>
    </row>
    <row r="94" spans="2:4" x14ac:dyDescent="0.15">
      <c r="B94" s="264"/>
      <c r="C94" s="264"/>
      <c r="D94" s="263"/>
    </row>
    <row r="95" spans="2:4" x14ac:dyDescent="0.15">
      <c r="B95" s="264"/>
      <c r="C95" s="264"/>
      <c r="D95" s="263"/>
    </row>
    <row r="96" spans="2:4" x14ac:dyDescent="0.15">
      <c r="B96" s="264"/>
      <c r="C96" s="264"/>
      <c r="D96" s="263"/>
    </row>
    <row r="97" spans="2:4" x14ac:dyDescent="0.15">
      <c r="B97" s="264"/>
      <c r="C97" s="264"/>
      <c r="D97" s="263"/>
    </row>
    <row r="98" spans="2:4" x14ac:dyDescent="0.15">
      <c r="B98" s="264"/>
      <c r="C98" s="264"/>
      <c r="D98" s="263"/>
    </row>
    <row r="99" spans="2:4" x14ac:dyDescent="0.15">
      <c r="B99" s="264"/>
      <c r="C99" s="264"/>
      <c r="D99" s="263"/>
    </row>
    <row r="100" spans="2:4" x14ac:dyDescent="0.15">
      <c r="B100" s="264"/>
      <c r="C100" s="264"/>
      <c r="D100" s="263"/>
    </row>
    <row r="101" spans="2:4" x14ac:dyDescent="0.15">
      <c r="B101" s="264"/>
      <c r="C101" s="264"/>
      <c r="D101" s="263"/>
    </row>
    <row r="102" spans="2:4" x14ac:dyDescent="0.15">
      <c r="B102" s="264"/>
      <c r="C102" s="264"/>
      <c r="D102" s="263"/>
    </row>
    <row r="103" spans="2:4" x14ac:dyDescent="0.15">
      <c r="B103" s="264"/>
      <c r="C103" s="264"/>
      <c r="D103" s="263"/>
    </row>
    <row r="104" spans="2:4" x14ac:dyDescent="0.15">
      <c r="B104" s="264"/>
      <c r="C104" s="264"/>
      <c r="D104" s="263"/>
    </row>
    <row r="105" spans="2:4" x14ac:dyDescent="0.15">
      <c r="B105" s="264"/>
      <c r="C105" s="264"/>
      <c r="D105" s="263"/>
    </row>
    <row r="106" spans="2:4" x14ac:dyDescent="0.15">
      <c r="B106" s="264"/>
      <c r="C106" s="264"/>
      <c r="D106" s="263"/>
    </row>
    <row r="107" spans="2:4" x14ac:dyDescent="0.15">
      <c r="B107" s="264"/>
      <c r="C107" s="264"/>
      <c r="D107" s="263"/>
    </row>
    <row r="108" spans="2:4" x14ac:dyDescent="0.15">
      <c r="B108" s="264"/>
      <c r="C108" s="264"/>
      <c r="D108" s="263"/>
    </row>
    <row r="109" spans="2:4" x14ac:dyDescent="0.15">
      <c r="B109" s="264"/>
      <c r="C109" s="264"/>
      <c r="D109" s="263"/>
    </row>
    <row r="110" spans="2:4" x14ac:dyDescent="0.15">
      <c r="B110" s="264"/>
      <c r="C110" s="264"/>
      <c r="D110" s="263"/>
    </row>
    <row r="111" spans="2:4" x14ac:dyDescent="0.15">
      <c r="B111" s="264"/>
      <c r="C111" s="264"/>
      <c r="D111" s="263"/>
    </row>
    <row r="112" spans="2:4" x14ac:dyDescent="0.15">
      <c r="B112" s="264"/>
      <c r="C112" s="264"/>
      <c r="D112" s="263"/>
    </row>
    <row r="113" spans="2:4" x14ac:dyDescent="0.15">
      <c r="B113" s="264"/>
      <c r="C113" s="264"/>
      <c r="D113" s="263"/>
    </row>
    <row r="114" spans="2:4" x14ac:dyDescent="0.15">
      <c r="B114" s="264"/>
      <c r="C114" s="264"/>
      <c r="D114" s="263"/>
    </row>
    <row r="115" spans="2:4" x14ac:dyDescent="0.15">
      <c r="B115" s="264"/>
      <c r="C115" s="264"/>
      <c r="D115" s="263"/>
    </row>
    <row r="116" spans="2:4" x14ac:dyDescent="0.15">
      <c r="B116" s="264"/>
      <c r="C116" s="264"/>
      <c r="D116" s="263"/>
    </row>
    <row r="117" spans="2:4" x14ac:dyDescent="0.15">
      <c r="B117" s="264"/>
      <c r="C117" s="264"/>
      <c r="D117" s="263"/>
    </row>
    <row r="118" spans="2:4" x14ac:dyDescent="0.15">
      <c r="B118" s="264"/>
      <c r="C118" s="264"/>
      <c r="D118" s="263"/>
    </row>
    <row r="119" spans="2:4" x14ac:dyDescent="0.15">
      <c r="B119" s="264"/>
      <c r="C119" s="264"/>
      <c r="D119" s="263"/>
    </row>
    <row r="120" spans="2:4" x14ac:dyDescent="0.15">
      <c r="B120" s="264"/>
      <c r="C120" s="264"/>
      <c r="D120" s="263"/>
    </row>
    <row r="121" spans="2:4" x14ac:dyDescent="0.15">
      <c r="B121" s="264"/>
      <c r="C121" s="264"/>
      <c r="D121" s="263"/>
    </row>
    <row r="122" spans="2:4" x14ac:dyDescent="0.15">
      <c r="B122" s="264"/>
      <c r="C122" s="264"/>
      <c r="D122" s="263"/>
    </row>
    <row r="123" spans="2:4" x14ac:dyDescent="0.15">
      <c r="B123" s="264"/>
      <c r="C123" s="264"/>
      <c r="D123" s="263"/>
    </row>
    <row r="124" spans="2:4" x14ac:dyDescent="0.15">
      <c r="B124" s="264"/>
      <c r="C124" s="264"/>
      <c r="D124" s="263"/>
    </row>
    <row r="125" spans="2:4" x14ac:dyDescent="0.15">
      <c r="B125" s="264"/>
      <c r="C125" s="264"/>
      <c r="D125" s="263"/>
    </row>
    <row r="126" spans="2:4" x14ac:dyDescent="0.15">
      <c r="B126" s="264"/>
      <c r="C126" s="264"/>
      <c r="D126" s="263"/>
    </row>
    <row r="127" spans="2:4" x14ac:dyDescent="0.15">
      <c r="B127" s="264"/>
      <c r="C127" s="264"/>
      <c r="D127" s="263"/>
    </row>
    <row r="128" spans="2:4" x14ac:dyDescent="0.15">
      <c r="B128" s="264"/>
      <c r="C128" s="264"/>
      <c r="D128" s="263"/>
    </row>
    <row r="129" spans="2:4" x14ac:dyDescent="0.15">
      <c r="B129" s="264"/>
      <c r="C129" s="264"/>
      <c r="D129" s="263"/>
    </row>
    <row r="130" spans="2:4" x14ac:dyDescent="0.15">
      <c r="B130" s="264"/>
      <c r="C130" s="264"/>
      <c r="D130" s="263"/>
    </row>
    <row r="131" spans="2:4" x14ac:dyDescent="0.15">
      <c r="B131" s="264"/>
      <c r="C131" s="264"/>
      <c r="D131" s="263"/>
    </row>
    <row r="132" spans="2:4" x14ac:dyDescent="0.15">
      <c r="B132" s="264"/>
      <c r="C132" s="264"/>
      <c r="D132" s="263"/>
    </row>
    <row r="133" spans="2:4" x14ac:dyDescent="0.15">
      <c r="B133" s="264"/>
      <c r="C133" s="264"/>
      <c r="D133" s="263"/>
    </row>
    <row r="134" spans="2:4" x14ac:dyDescent="0.15">
      <c r="B134" s="264"/>
      <c r="C134" s="264"/>
      <c r="D134" s="263"/>
    </row>
    <row r="135" spans="2:4" x14ac:dyDescent="0.15">
      <c r="B135" s="264"/>
      <c r="C135" s="264"/>
      <c r="D135" s="263"/>
    </row>
    <row r="136" spans="2:4" x14ac:dyDescent="0.15">
      <c r="B136" s="264"/>
      <c r="C136" s="264"/>
      <c r="D136" s="263"/>
    </row>
    <row r="137" spans="2:4" x14ac:dyDescent="0.15">
      <c r="B137" s="264"/>
      <c r="C137" s="264"/>
      <c r="D137" s="263"/>
    </row>
    <row r="138" spans="2:4" x14ac:dyDescent="0.15">
      <c r="B138" s="264"/>
      <c r="C138" s="264"/>
      <c r="D138" s="263"/>
    </row>
    <row r="139" spans="2:4" x14ac:dyDescent="0.15">
      <c r="B139" s="264"/>
      <c r="C139" s="264"/>
      <c r="D139" s="263"/>
    </row>
    <row r="140" spans="2:4" x14ac:dyDescent="0.15">
      <c r="B140" s="264"/>
      <c r="C140" s="264"/>
      <c r="D140" s="263"/>
    </row>
    <row r="141" spans="2:4" x14ac:dyDescent="0.15">
      <c r="B141" s="264"/>
      <c r="C141" s="264"/>
      <c r="D141" s="263"/>
    </row>
    <row r="142" spans="2:4" x14ac:dyDescent="0.15">
      <c r="B142" s="264"/>
      <c r="C142" s="264"/>
      <c r="D142" s="263"/>
    </row>
    <row r="143" spans="2:4" x14ac:dyDescent="0.15">
      <c r="B143" s="264"/>
      <c r="C143" s="264"/>
      <c r="D143" s="263"/>
    </row>
    <row r="144" spans="2:4" x14ac:dyDescent="0.15">
      <c r="B144" s="264"/>
      <c r="C144" s="264"/>
      <c r="D144" s="263"/>
    </row>
    <row r="145" spans="2:4" x14ac:dyDescent="0.15">
      <c r="B145" s="264"/>
      <c r="C145" s="264"/>
      <c r="D145" s="263"/>
    </row>
    <row r="146" spans="2:4" x14ac:dyDescent="0.15">
      <c r="B146" s="264"/>
      <c r="C146" s="264"/>
      <c r="D146" s="263"/>
    </row>
    <row r="147" spans="2:4" x14ac:dyDescent="0.15">
      <c r="B147" s="264"/>
      <c r="C147" s="264"/>
      <c r="D147" s="263"/>
    </row>
    <row r="148" spans="2:4" x14ac:dyDescent="0.15">
      <c r="B148" s="264"/>
      <c r="C148" s="264"/>
      <c r="D148" s="263"/>
    </row>
    <row r="149" spans="2:4" x14ac:dyDescent="0.15">
      <c r="B149" s="264"/>
      <c r="C149" s="264"/>
      <c r="D149" s="263"/>
    </row>
    <row r="150" spans="2:4" x14ac:dyDescent="0.15">
      <c r="B150" s="264"/>
      <c r="C150" s="264"/>
      <c r="D150" s="263"/>
    </row>
    <row r="151" spans="2:4" x14ac:dyDescent="0.15">
      <c r="B151" s="264"/>
      <c r="C151" s="264"/>
      <c r="D151" s="263"/>
    </row>
    <row r="152" spans="2:4" x14ac:dyDescent="0.15">
      <c r="B152" s="264"/>
      <c r="C152" s="264"/>
      <c r="D152" s="263"/>
    </row>
    <row r="153" spans="2:4" x14ac:dyDescent="0.15">
      <c r="B153" s="264"/>
      <c r="C153" s="264"/>
      <c r="D153" s="263"/>
    </row>
    <row r="154" spans="2:4" x14ac:dyDescent="0.15">
      <c r="B154" s="264"/>
      <c r="C154" s="264"/>
      <c r="D154" s="263"/>
    </row>
    <row r="155" spans="2:4" x14ac:dyDescent="0.15">
      <c r="B155" s="264"/>
      <c r="C155" s="264"/>
      <c r="D155" s="263"/>
    </row>
    <row r="156" spans="2:4" x14ac:dyDescent="0.15">
      <c r="B156" s="264"/>
      <c r="C156" s="264"/>
      <c r="D156" s="263"/>
    </row>
    <row r="157" spans="2:4" x14ac:dyDescent="0.15">
      <c r="B157" s="264"/>
      <c r="C157" s="264"/>
      <c r="D157" s="263"/>
    </row>
    <row r="158" spans="2:4" x14ac:dyDescent="0.15">
      <c r="B158" s="264"/>
      <c r="C158" s="264"/>
      <c r="D158" s="263"/>
    </row>
    <row r="159" spans="2:4" x14ac:dyDescent="0.15">
      <c r="B159" s="264"/>
      <c r="C159" s="264"/>
      <c r="D159" s="263"/>
    </row>
    <row r="160" spans="2:4" x14ac:dyDescent="0.15">
      <c r="B160" s="264"/>
      <c r="C160" s="264"/>
      <c r="D160" s="263"/>
    </row>
    <row r="161" spans="2:4" x14ac:dyDescent="0.15">
      <c r="B161" s="264"/>
      <c r="C161" s="264"/>
      <c r="D161" s="263"/>
    </row>
    <row r="162" spans="2:4" x14ac:dyDescent="0.15">
      <c r="B162" s="264"/>
      <c r="C162" s="264"/>
      <c r="D162" s="263"/>
    </row>
    <row r="163" spans="2:4" x14ac:dyDescent="0.15">
      <c r="B163" s="264"/>
      <c r="C163" s="264"/>
      <c r="D163" s="263"/>
    </row>
    <row r="164" spans="2:4" x14ac:dyDescent="0.15">
      <c r="B164" s="264"/>
      <c r="C164" s="264"/>
      <c r="D164" s="263"/>
    </row>
    <row r="165" spans="2:4" x14ac:dyDescent="0.15">
      <c r="B165" s="264"/>
      <c r="C165" s="264"/>
      <c r="D165" s="263"/>
    </row>
    <row r="166" spans="2:4" x14ac:dyDescent="0.15">
      <c r="B166" s="264"/>
      <c r="C166" s="264"/>
      <c r="D166" s="263"/>
    </row>
    <row r="167" spans="2:4" x14ac:dyDescent="0.15">
      <c r="B167" s="264"/>
      <c r="C167" s="264"/>
      <c r="D167" s="263"/>
    </row>
    <row r="168" spans="2:4" x14ac:dyDescent="0.15">
      <c r="B168" s="264"/>
      <c r="C168" s="264"/>
      <c r="D168" s="263"/>
    </row>
    <row r="169" spans="2:4" x14ac:dyDescent="0.15">
      <c r="B169" s="264"/>
      <c r="C169" s="264"/>
      <c r="D169" s="263"/>
    </row>
    <row r="170" spans="2:4" x14ac:dyDescent="0.15">
      <c r="B170" s="264"/>
      <c r="C170" s="264"/>
      <c r="D170" s="263"/>
    </row>
    <row r="171" spans="2:4" x14ac:dyDescent="0.15">
      <c r="B171" s="264"/>
      <c r="C171" s="264"/>
      <c r="D171" s="263"/>
    </row>
    <row r="172" spans="2:4" x14ac:dyDescent="0.15">
      <c r="B172" s="264"/>
      <c r="C172" s="264"/>
      <c r="D172" s="263"/>
    </row>
    <row r="173" spans="2:4" x14ac:dyDescent="0.15">
      <c r="B173" s="264"/>
      <c r="C173" s="264"/>
      <c r="D173" s="263"/>
    </row>
    <row r="174" spans="2:4" x14ac:dyDescent="0.15">
      <c r="B174" s="264"/>
      <c r="C174" s="264"/>
      <c r="D174" s="263"/>
    </row>
    <row r="175" spans="2:4" x14ac:dyDescent="0.15">
      <c r="B175" s="264"/>
      <c r="C175" s="264"/>
      <c r="D175" s="263"/>
    </row>
    <row r="176" spans="2:4" x14ac:dyDescent="0.15">
      <c r="B176" s="264"/>
      <c r="C176" s="264"/>
      <c r="D176" s="263"/>
    </row>
    <row r="177" spans="2:4" x14ac:dyDescent="0.15">
      <c r="B177" s="264"/>
      <c r="C177" s="264"/>
      <c r="D177" s="263"/>
    </row>
    <row r="178" spans="2:4" x14ac:dyDescent="0.15">
      <c r="B178" s="264"/>
      <c r="C178" s="264"/>
      <c r="D178" s="263"/>
    </row>
    <row r="179" spans="2:4" x14ac:dyDescent="0.15">
      <c r="B179" s="264"/>
      <c r="C179" s="264"/>
      <c r="D179" s="263"/>
    </row>
    <row r="180" spans="2:4" x14ac:dyDescent="0.15">
      <c r="B180" s="264"/>
      <c r="C180" s="264"/>
      <c r="D180" s="263"/>
    </row>
    <row r="181" spans="2:4" x14ac:dyDescent="0.15">
      <c r="B181" s="264"/>
      <c r="C181" s="264"/>
      <c r="D181" s="263"/>
    </row>
    <row r="182" spans="2:4" x14ac:dyDescent="0.15">
      <c r="B182" s="264"/>
      <c r="C182" s="264"/>
      <c r="D182" s="263"/>
    </row>
    <row r="183" spans="2:4" x14ac:dyDescent="0.15">
      <c r="B183" s="264"/>
      <c r="C183" s="264"/>
      <c r="D183" s="263"/>
    </row>
    <row r="184" spans="2:4" x14ac:dyDescent="0.15">
      <c r="B184" s="264"/>
      <c r="C184" s="264"/>
      <c r="D184" s="263"/>
    </row>
    <row r="185" spans="2:4" x14ac:dyDescent="0.15">
      <c r="B185" s="264"/>
      <c r="C185" s="264"/>
      <c r="D185" s="263"/>
    </row>
    <row r="186" spans="2:4" x14ac:dyDescent="0.15">
      <c r="B186" s="264"/>
      <c r="C186" s="264"/>
      <c r="D186" s="263"/>
    </row>
    <row r="187" spans="2:4" x14ac:dyDescent="0.15">
      <c r="B187" s="264"/>
      <c r="C187" s="264"/>
      <c r="D187" s="263"/>
    </row>
    <row r="188" spans="2:4" x14ac:dyDescent="0.15">
      <c r="B188" s="264"/>
      <c r="C188" s="264"/>
      <c r="D188" s="263"/>
    </row>
    <row r="189" spans="2:4" x14ac:dyDescent="0.15">
      <c r="B189" s="264"/>
      <c r="C189" s="264"/>
      <c r="D189" s="263"/>
    </row>
    <row r="190" spans="2:4" x14ac:dyDescent="0.15">
      <c r="B190" s="264"/>
      <c r="C190" s="264"/>
      <c r="D190" s="263"/>
    </row>
    <row r="191" spans="2:4" x14ac:dyDescent="0.15">
      <c r="B191" s="264"/>
      <c r="C191" s="264"/>
      <c r="D191" s="263"/>
    </row>
    <row r="192" spans="2:4" x14ac:dyDescent="0.15">
      <c r="B192" s="264"/>
      <c r="C192" s="264"/>
      <c r="D192" s="263"/>
    </row>
    <row r="193" spans="2:4" x14ac:dyDescent="0.15">
      <c r="B193" s="264"/>
      <c r="C193" s="264"/>
      <c r="D193" s="263"/>
    </row>
    <row r="194" spans="2:4" x14ac:dyDescent="0.15">
      <c r="B194" s="264"/>
      <c r="C194" s="264"/>
      <c r="D194" s="263"/>
    </row>
    <row r="195" spans="2:4" x14ac:dyDescent="0.15">
      <c r="B195" s="264"/>
      <c r="C195" s="264"/>
      <c r="D195" s="263"/>
    </row>
    <row r="196" spans="2:4" x14ac:dyDescent="0.15">
      <c r="B196" s="264"/>
      <c r="C196" s="264"/>
      <c r="D196" s="263"/>
    </row>
    <row r="197" spans="2:4" x14ac:dyDescent="0.15">
      <c r="B197" s="264"/>
      <c r="C197" s="264"/>
      <c r="D197" s="263"/>
    </row>
    <row r="198" spans="2:4" x14ac:dyDescent="0.15">
      <c r="B198" s="264"/>
      <c r="C198" s="264"/>
      <c r="D198" s="263"/>
    </row>
    <row r="199" spans="2:4" x14ac:dyDescent="0.15">
      <c r="B199" s="264"/>
      <c r="C199" s="264"/>
      <c r="D199" s="263"/>
    </row>
    <row r="200" spans="2:4" x14ac:dyDescent="0.15">
      <c r="B200" s="264"/>
      <c r="C200" s="264"/>
      <c r="D200" s="263"/>
    </row>
    <row r="201" spans="2:4" x14ac:dyDescent="0.15">
      <c r="B201" s="264"/>
      <c r="C201" s="264"/>
      <c r="D201" s="263"/>
    </row>
    <row r="202" spans="2:4" x14ac:dyDescent="0.15">
      <c r="B202" s="264"/>
      <c r="C202" s="264"/>
      <c r="D202" s="263"/>
    </row>
    <row r="203" spans="2:4" x14ac:dyDescent="0.15">
      <c r="B203" s="264"/>
      <c r="C203" s="264"/>
      <c r="D203" s="263"/>
    </row>
    <row r="204" spans="2:4" x14ac:dyDescent="0.15">
      <c r="B204" s="264"/>
      <c r="C204" s="264"/>
      <c r="D204" s="263"/>
    </row>
  </sheetData>
  <mergeCells count="17">
    <mergeCell ref="AI12:AM12"/>
    <mergeCell ref="AI22:AM22"/>
    <mergeCell ref="AQ1:AS1"/>
    <mergeCell ref="F10:G10"/>
    <mergeCell ref="F17:G17"/>
    <mergeCell ref="AI1:AO1"/>
    <mergeCell ref="AI3:AM3"/>
    <mergeCell ref="Y1:AG1"/>
    <mergeCell ref="B3:C3"/>
    <mergeCell ref="F5:G5"/>
    <mergeCell ref="B1:G1"/>
    <mergeCell ref="U1:W1"/>
    <mergeCell ref="P25:R25"/>
    <mergeCell ref="P18:R18"/>
    <mergeCell ref="I1:N1"/>
    <mergeCell ref="P10:S10"/>
    <mergeCell ref="P1:S1"/>
  </mergeCells>
  <phoneticPr fontId="4" type="noConversion"/>
  <pageMargins left="0.75" right="0.75" top="1" bottom="1" header="0.5" footer="0.5"/>
  <pageSetup scale="90" orientation="portrait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54"/>
  <sheetViews>
    <sheetView workbookViewId="0"/>
  </sheetViews>
  <sheetFormatPr baseColWidth="10" defaultColWidth="8.83203125" defaultRowHeight="13" x14ac:dyDescent="0.15"/>
  <cols>
    <col min="1" max="1" width="1.6640625" style="85" customWidth="1"/>
    <col min="2" max="16384" width="8.83203125" style="85"/>
  </cols>
  <sheetData>
    <row r="1" spans="1:22" ht="16" thickBot="1" x14ac:dyDescent="0.2">
      <c r="A1" s="4"/>
      <c r="B1" s="268" t="s">
        <v>60</v>
      </c>
      <c r="C1" s="268"/>
      <c r="D1" s="268"/>
      <c r="E1" s="268"/>
      <c r="G1" s="268" t="s">
        <v>61</v>
      </c>
      <c r="H1" s="268"/>
      <c r="I1" s="268"/>
      <c r="J1" s="268"/>
      <c r="K1" s="268"/>
      <c r="L1" s="268"/>
      <c r="M1" s="268"/>
      <c r="N1" s="268"/>
      <c r="P1" s="268" t="s">
        <v>30</v>
      </c>
      <c r="Q1" s="268"/>
      <c r="R1" s="268"/>
      <c r="T1" s="268" t="s">
        <v>59</v>
      </c>
      <c r="U1" s="268"/>
      <c r="V1" s="268"/>
    </row>
    <row r="3" spans="1:22" ht="15" thickBot="1" x14ac:dyDescent="0.2">
      <c r="B3" s="50" t="s">
        <v>8</v>
      </c>
      <c r="C3" s="236" t="s">
        <v>62</v>
      </c>
      <c r="D3" s="236" t="s">
        <v>63</v>
      </c>
      <c r="G3" s="50" t="s">
        <v>8</v>
      </c>
      <c r="H3" s="50">
        <v>1</v>
      </c>
      <c r="I3" s="50">
        <v>2</v>
      </c>
      <c r="J3" s="50">
        <v>3</v>
      </c>
      <c r="K3" s="50">
        <v>4</v>
      </c>
      <c r="L3" s="50">
        <v>5</v>
      </c>
      <c r="M3" s="50">
        <v>6</v>
      </c>
      <c r="N3" s="151"/>
      <c r="P3" s="6" t="s">
        <v>157</v>
      </c>
      <c r="Q3" s="93">
        <v>1</v>
      </c>
      <c r="T3" s="67" t="s">
        <v>2</v>
      </c>
      <c r="U3" s="9" t="s">
        <v>31</v>
      </c>
      <c r="V3" s="9" t="s">
        <v>32</v>
      </c>
    </row>
    <row r="4" spans="1:22" ht="15" thickBot="1" x14ac:dyDescent="0.2">
      <c r="B4" s="50">
        <v>1</v>
      </c>
      <c r="C4" s="237">
        <v>36</v>
      </c>
      <c r="D4" s="238">
        <v>25</v>
      </c>
      <c r="E4" s="239">
        <f>IF(D4&gt;0,((C4-D4)^2/D4),0)</f>
        <v>4.84</v>
      </c>
      <c r="G4" s="50">
        <v>1</v>
      </c>
      <c r="H4" s="237">
        <v>26</v>
      </c>
      <c r="I4" s="240">
        <v>6</v>
      </c>
      <c r="J4" s="240">
        <v>11</v>
      </c>
      <c r="K4" s="240"/>
      <c r="L4" s="240"/>
      <c r="M4" s="238"/>
      <c r="N4" s="151">
        <f t="shared" ref="N4:N9" si="0">SUM(H4:M4)</f>
        <v>43</v>
      </c>
      <c r="P4" s="10" t="s">
        <v>162</v>
      </c>
      <c r="Q4" s="96">
        <v>0.05</v>
      </c>
      <c r="T4" s="50">
        <v>1</v>
      </c>
      <c r="U4" s="157">
        <f t="shared" ref="U4:U37" si="1">CHIINV(0.05,$T4)</f>
        <v>3.8414588206941236</v>
      </c>
      <c r="V4" s="159">
        <f t="shared" ref="V4:V37" si="2">CHIINV(0.01,$T4)</f>
        <v>6.6348966010212118</v>
      </c>
    </row>
    <row r="5" spans="1:22" ht="16" thickBot="1" x14ac:dyDescent="0.2">
      <c r="B5" s="50">
        <v>2</v>
      </c>
      <c r="C5" s="241">
        <v>14</v>
      </c>
      <c r="D5" s="242">
        <v>25</v>
      </c>
      <c r="E5" s="239">
        <f t="shared" ref="E5:E13" si="3">IF(D5&gt;0,((C5-D5)^2/D5),0)</f>
        <v>4.84</v>
      </c>
      <c r="G5" s="50">
        <v>2</v>
      </c>
      <c r="H5" s="241">
        <v>10</v>
      </c>
      <c r="I5" s="243">
        <v>8</v>
      </c>
      <c r="J5" s="243">
        <v>14</v>
      </c>
      <c r="K5" s="243"/>
      <c r="L5" s="243"/>
      <c r="M5" s="242"/>
      <c r="N5" s="151">
        <f t="shared" si="0"/>
        <v>32</v>
      </c>
      <c r="P5" s="44" t="s">
        <v>221</v>
      </c>
      <c r="Q5" s="244">
        <f>CHIINV(Q4,Q3)</f>
        <v>3.8414588206941236</v>
      </c>
      <c r="T5" s="50">
        <v>2</v>
      </c>
      <c r="U5" s="162">
        <f t="shared" si="1"/>
        <v>5.9914645471079817</v>
      </c>
      <c r="V5" s="164">
        <f t="shared" si="2"/>
        <v>9.2103403719761818</v>
      </c>
    </row>
    <row r="6" spans="1:22" x14ac:dyDescent="0.15">
      <c r="B6" s="50">
        <v>3</v>
      </c>
      <c r="C6" s="241">
        <v>25</v>
      </c>
      <c r="D6" s="242">
        <v>25</v>
      </c>
      <c r="E6" s="239">
        <f t="shared" si="3"/>
        <v>0</v>
      </c>
      <c r="G6" s="50">
        <v>3</v>
      </c>
      <c r="H6" s="241"/>
      <c r="I6" s="243"/>
      <c r="J6" s="243"/>
      <c r="K6" s="243"/>
      <c r="L6" s="243"/>
      <c r="M6" s="242"/>
      <c r="N6" s="151">
        <f t="shared" si="0"/>
        <v>0</v>
      </c>
      <c r="T6" s="50">
        <v>3</v>
      </c>
      <c r="U6" s="162">
        <f t="shared" si="1"/>
        <v>7.8147279032511792</v>
      </c>
      <c r="V6" s="164">
        <f t="shared" si="2"/>
        <v>11.344866730144371</v>
      </c>
    </row>
    <row r="7" spans="1:22" x14ac:dyDescent="0.15">
      <c r="B7" s="50">
        <v>4</v>
      </c>
      <c r="C7" s="241"/>
      <c r="D7" s="242"/>
      <c r="E7" s="239">
        <f t="shared" si="3"/>
        <v>0</v>
      </c>
      <c r="G7" s="50">
        <v>4</v>
      </c>
      <c r="H7" s="241"/>
      <c r="I7" s="243"/>
      <c r="J7" s="243"/>
      <c r="K7" s="243"/>
      <c r="L7" s="243"/>
      <c r="M7" s="242"/>
      <c r="N7" s="151">
        <f t="shared" si="0"/>
        <v>0</v>
      </c>
      <c r="P7" s="6" t="s">
        <v>157</v>
      </c>
      <c r="Q7" s="93">
        <v>1</v>
      </c>
      <c r="T7" s="50">
        <v>4</v>
      </c>
      <c r="U7" s="162">
        <f t="shared" si="1"/>
        <v>9.4877290367811575</v>
      </c>
      <c r="V7" s="164">
        <f t="shared" si="2"/>
        <v>13.276704135987623</v>
      </c>
    </row>
    <row r="8" spans="1:22" ht="16" thickBot="1" x14ac:dyDescent="0.2">
      <c r="B8" s="50">
        <v>5</v>
      </c>
      <c r="C8" s="241"/>
      <c r="D8" s="242"/>
      <c r="E8" s="239">
        <f t="shared" si="3"/>
        <v>0</v>
      </c>
      <c r="G8" s="50">
        <v>5</v>
      </c>
      <c r="H8" s="241"/>
      <c r="I8" s="243"/>
      <c r="J8" s="243"/>
      <c r="K8" s="243"/>
      <c r="L8" s="243"/>
      <c r="M8" s="242"/>
      <c r="N8" s="151">
        <f t="shared" si="0"/>
        <v>0</v>
      </c>
      <c r="P8" s="10" t="s">
        <v>221</v>
      </c>
      <c r="Q8" s="245">
        <v>4</v>
      </c>
      <c r="T8" s="50">
        <v>5</v>
      </c>
      <c r="U8" s="162">
        <f t="shared" si="1"/>
        <v>11.070497693516353</v>
      </c>
      <c r="V8" s="164">
        <f t="shared" si="2"/>
        <v>15.086272469388991</v>
      </c>
    </row>
    <row r="9" spans="1:22" ht="14" thickBot="1" x14ac:dyDescent="0.2">
      <c r="B9" s="50">
        <v>6</v>
      </c>
      <c r="C9" s="241"/>
      <c r="D9" s="242"/>
      <c r="E9" s="239">
        <f t="shared" si="3"/>
        <v>0</v>
      </c>
      <c r="G9" s="50">
        <v>6</v>
      </c>
      <c r="H9" s="246"/>
      <c r="I9" s="247"/>
      <c r="J9" s="247"/>
      <c r="K9" s="247"/>
      <c r="L9" s="247"/>
      <c r="M9" s="248"/>
      <c r="N9" s="151">
        <f t="shared" si="0"/>
        <v>0</v>
      </c>
      <c r="P9" s="44" t="s">
        <v>122</v>
      </c>
      <c r="Q9" s="45">
        <f>CHIDIST(Q8,Q7)</f>
        <v>4.5500263896358382E-2</v>
      </c>
      <c r="T9" s="50">
        <v>6</v>
      </c>
      <c r="U9" s="162">
        <f t="shared" si="1"/>
        <v>12.591587243743978</v>
      </c>
      <c r="V9" s="164">
        <f t="shared" si="2"/>
        <v>16.811893829770931</v>
      </c>
    </row>
    <row r="10" spans="1:22" x14ac:dyDescent="0.15">
      <c r="B10" s="50">
        <v>7</v>
      </c>
      <c r="C10" s="241"/>
      <c r="D10" s="242"/>
      <c r="E10" s="239">
        <f t="shared" si="3"/>
        <v>0</v>
      </c>
      <c r="G10" s="151"/>
      <c r="H10" s="151">
        <f>SUM(H4:H9)</f>
        <v>36</v>
      </c>
      <c r="I10" s="151">
        <f t="shared" ref="I10:N10" si="4">SUM(I4:I9)</f>
        <v>14</v>
      </c>
      <c r="J10" s="151">
        <f t="shared" si="4"/>
        <v>25</v>
      </c>
      <c r="K10" s="151">
        <f t="shared" si="4"/>
        <v>0</v>
      </c>
      <c r="L10" s="151">
        <f t="shared" si="4"/>
        <v>0</v>
      </c>
      <c r="M10" s="151">
        <f t="shared" si="4"/>
        <v>0</v>
      </c>
      <c r="N10" s="151">
        <f t="shared" si="4"/>
        <v>75</v>
      </c>
      <c r="T10" s="50">
        <v>7</v>
      </c>
      <c r="U10" s="162">
        <f t="shared" si="1"/>
        <v>14.067140449340167</v>
      </c>
      <c r="V10" s="164">
        <f t="shared" si="2"/>
        <v>18.475306906582361</v>
      </c>
    </row>
    <row r="11" spans="1:22" ht="14" thickBot="1" x14ac:dyDescent="0.2">
      <c r="B11" s="50">
        <v>8</v>
      </c>
      <c r="C11" s="241"/>
      <c r="D11" s="242"/>
      <c r="E11" s="239">
        <f t="shared" si="3"/>
        <v>0</v>
      </c>
      <c r="T11" s="50">
        <v>8</v>
      </c>
      <c r="U11" s="162">
        <f t="shared" si="1"/>
        <v>15.507313055865453</v>
      </c>
      <c r="V11" s="164">
        <f t="shared" si="2"/>
        <v>20.090235029663233</v>
      </c>
    </row>
    <row r="12" spans="1:22" x14ac:dyDescent="0.15">
      <c r="B12" s="50">
        <v>9</v>
      </c>
      <c r="C12" s="241"/>
      <c r="D12" s="242"/>
      <c r="E12" s="239">
        <f t="shared" si="3"/>
        <v>0</v>
      </c>
      <c r="H12" s="266" t="s">
        <v>13</v>
      </c>
      <c r="I12" s="267"/>
      <c r="K12" s="151">
        <f>COUNT(H4:H9)</f>
        <v>2</v>
      </c>
      <c r="L12" s="151">
        <f>COUNT(H4:M4)</f>
        <v>3</v>
      </c>
      <c r="T12" s="50">
        <v>9</v>
      </c>
      <c r="U12" s="162">
        <f t="shared" si="1"/>
        <v>16.918977604620451</v>
      </c>
      <c r="V12" s="164">
        <f t="shared" si="2"/>
        <v>21.665994333461931</v>
      </c>
    </row>
    <row r="13" spans="1:22" ht="15" x14ac:dyDescent="0.15">
      <c r="B13" s="50">
        <v>10</v>
      </c>
      <c r="C13" s="246"/>
      <c r="D13" s="248"/>
      <c r="E13" s="239">
        <f t="shared" si="3"/>
        <v>0</v>
      </c>
      <c r="H13" s="1" t="s">
        <v>221</v>
      </c>
      <c r="I13" s="249">
        <f>SUM(H27:M32)</f>
        <v>6.278550664451827</v>
      </c>
      <c r="K13" s="3"/>
      <c r="L13" s="3"/>
      <c r="T13" s="50">
        <v>10</v>
      </c>
      <c r="U13" s="162">
        <f t="shared" si="1"/>
        <v>18.307038053275146</v>
      </c>
      <c r="V13" s="164">
        <f t="shared" si="2"/>
        <v>23.209251158954359</v>
      </c>
    </row>
    <row r="14" spans="1:22" x14ac:dyDescent="0.15">
      <c r="B14" s="50"/>
      <c r="C14" s="4">
        <f>SUM(C4:C13)</f>
        <v>75</v>
      </c>
      <c r="D14" s="4">
        <f>SUM(D4:D13)</f>
        <v>75</v>
      </c>
      <c r="E14" s="239">
        <f>SUM(E4:E13)</f>
        <v>9.68</v>
      </c>
      <c r="H14" s="1" t="s">
        <v>157</v>
      </c>
      <c r="I14" s="25">
        <f>(COUNT(H4:H9)-1)*(COUNT(H4:M4)-1)</f>
        <v>2</v>
      </c>
      <c r="T14" s="50">
        <v>11</v>
      </c>
      <c r="U14" s="162">
        <f t="shared" si="1"/>
        <v>19.675137572682498</v>
      </c>
      <c r="V14" s="164">
        <f t="shared" si="2"/>
        <v>24.724970311318284</v>
      </c>
    </row>
    <row r="15" spans="1:22" ht="14" thickBot="1" x14ac:dyDescent="0.2">
      <c r="H15" s="1" t="s">
        <v>119</v>
      </c>
      <c r="I15" s="25">
        <f>N10</f>
        <v>75</v>
      </c>
      <c r="T15" s="50">
        <v>12</v>
      </c>
      <c r="U15" s="162">
        <f t="shared" si="1"/>
        <v>21.026069817483066</v>
      </c>
      <c r="V15" s="164">
        <f t="shared" si="2"/>
        <v>26.216967305535849</v>
      </c>
    </row>
    <row r="16" spans="1:22" x14ac:dyDescent="0.15">
      <c r="B16" s="266" t="s">
        <v>13</v>
      </c>
      <c r="C16" s="267"/>
      <c r="H16" s="1" t="s">
        <v>122</v>
      </c>
      <c r="I16" s="31">
        <f>CHIDIST(I13,I14)</f>
        <v>4.3314174918360947E-2</v>
      </c>
      <c r="T16" s="50">
        <v>13</v>
      </c>
      <c r="U16" s="162">
        <f t="shared" si="1"/>
        <v>22.362032494826938</v>
      </c>
      <c r="V16" s="164">
        <f t="shared" si="2"/>
        <v>27.688249610457049</v>
      </c>
    </row>
    <row r="17" spans="2:22" ht="15" x14ac:dyDescent="0.15">
      <c r="B17" s="1" t="s">
        <v>221</v>
      </c>
      <c r="C17" s="249">
        <f>E14</f>
        <v>9.68</v>
      </c>
      <c r="H17" s="1" t="s">
        <v>222</v>
      </c>
      <c r="I17" s="249" t="str">
        <f>IF(I14=1,SQRT(I13/I15),"---")</f>
        <v>---</v>
      </c>
      <c r="J17" s="296" t="s">
        <v>110</v>
      </c>
      <c r="K17" s="297"/>
      <c r="L17" s="297"/>
      <c r="M17" s="297"/>
      <c r="T17" s="50">
        <v>14</v>
      </c>
      <c r="U17" s="162">
        <f t="shared" si="1"/>
        <v>23.68479130484058</v>
      </c>
      <c r="V17" s="164">
        <f t="shared" si="2"/>
        <v>29.141237740672796</v>
      </c>
    </row>
    <row r="18" spans="2:22" ht="14" thickBot="1" x14ac:dyDescent="0.2">
      <c r="B18" s="1" t="s">
        <v>157</v>
      </c>
      <c r="C18" s="250">
        <f>COUNT(C4:C13)-1</f>
        <v>2</v>
      </c>
      <c r="H18" s="32" t="s">
        <v>227</v>
      </c>
      <c r="I18" s="265">
        <f>SQRT((I13/I15)/MIN(K12-1,L12-1))</f>
        <v>0.28933373266758527</v>
      </c>
      <c r="T18" s="50">
        <v>15</v>
      </c>
      <c r="U18" s="162">
        <f t="shared" si="1"/>
        <v>24.99579013972863</v>
      </c>
      <c r="V18" s="164">
        <f t="shared" si="2"/>
        <v>30.577914166892494</v>
      </c>
    </row>
    <row r="19" spans="2:22" x14ac:dyDescent="0.15">
      <c r="B19" s="55" t="s">
        <v>131</v>
      </c>
      <c r="C19" s="250">
        <f>C14</f>
        <v>75</v>
      </c>
      <c r="T19" s="50">
        <v>16</v>
      </c>
      <c r="U19" s="162">
        <f t="shared" si="1"/>
        <v>26.296227604864239</v>
      </c>
      <c r="V19" s="164">
        <f t="shared" si="2"/>
        <v>31.999926908815183</v>
      </c>
    </row>
    <row r="20" spans="2:22" ht="14" thickBot="1" x14ac:dyDescent="0.2">
      <c r="B20" s="251" t="s">
        <v>122</v>
      </c>
      <c r="C20" s="99">
        <f>CHIDIST(C17,C18)</f>
        <v>7.9070540515934415E-3</v>
      </c>
      <c r="H20" s="225">
        <f>H$10*$N4/$N$10</f>
        <v>20.64</v>
      </c>
      <c r="I20" s="225">
        <f>I$10*$N4/$N$10</f>
        <v>8.0266666666666673</v>
      </c>
      <c r="J20" s="225">
        <f>J$10*$N4/$N$10</f>
        <v>14.333333333333334</v>
      </c>
      <c r="K20" s="225">
        <f>K$10*$N4/$N$10</f>
        <v>0</v>
      </c>
      <c r="L20" s="225">
        <f>L$10*$N4/$N$10</f>
        <v>0</v>
      </c>
      <c r="M20" s="225">
        <f>M$10*$N4/$N$10</f>
        <v>0</v>
      </c>
      <c r="T20" s="50">
        <v>17</v>
      </c>
      <c r="U20" s="162">
        <f t="shared" si="1"/>
        <v>27.587111638275324</v>
      </c>
      <c r="V20" s="164">
        <f t="shared" si="2"/>
        <v>33.408663605004612</v>
      </c>
    </row>
    <row r="21" spans="2:22" x14ac:dyDescent="0.15">
      <c r="H21" s="225">
        <f>H$10*$N5/$N$10</f>
        <v>15.36</v>
      </c>
      <c r="I21" s="225">
        <f>I$10*$N5/$N$10</f>
        <v>5.9733333333333336</v>
      </c>
      <c r="J21" s="225">
        <f>J$10*$N5/$N$10</f>
        <v>10.666666666666666</v>
      </c>
      <c r="K21" s="225">
        <f>K$10*$N5/$N$10</f>
        <v>0</v>
      </c>
      <c r="L21" s="225">
        <f>L$10*$N5/$N$10</f>
        <v>0</v>
      </c>
      <c r="M21" s="225">
        <f>M$10*$N5/$N$10</f>
        <v>0</v>
      </c>
      <c r="T21" s="50">
        <v>18</v>
      </c>
      <c r="U21" s="162">
        <f t="shared" si="1"/>
        <v>28.869299430392633</v>
      </c>
      <c r="V21" s="164">
        <f t="shared" si="2"/>
        <v>34.805305734705072</v>
      </c>
    </row>
    <row r="22" spans="2:22" x14ac:dyDescent="0.15">
      <c r="B22" s="252"/>
      <c r="H22" s="225">
        <f>H$10*$N6/$N$10</f>
        <v>0</v>
      </c>
      <c r="I22" s="225">
        <f>I$10*$N6/$N$10</f>
        <v>0</v>
      </c>
      <c r="J22" s="225">
        <f>J$10*$N6/$N$10</f>
        <v>0</v>
      </c>
      <c r="K22" s="225">
        <f>K$10*$N6/$N$10</f>
        <v>0</v>
      </c>
      <c r="L22" s="225">
        <f>L$10*$N6/$N$10</f>
        <v>0</v>
      </c>
      <c r="M22" s="225">
        <f>M$10*$N6/$N$10</f>
        <v>0</v>
      </c>
      <c r="T22" s="50">
        <v>19</v>
      </c>
      <c r="U22" s="162">
        <f t="shared" si="1"/>
        <v>30.143527205646155</v>
      </c>
      <c r="V22" s="164">
        <f t="shared" si="2"/>
        <v>36.190869129270048</v>
      </c>
    </row>
    <row r="23" spans="2:22" x14ac:dyDescent="0.15">
      <c r="B23" s="3"/>
      <c r="H23" s="225">
        <f>H$10*$N7/$N$10</f>
        <v>0</v>
      </c>
      <c r="I23" s="225">
        <f>I$10*$N7/$N$10</f>
        <v>0</v>
      </c>
      <c r="J23" s="225">
        <f>J$10*$N7/$N$10</f>
        <v>0</v>
      </c>
      <c r="K23" s="225">
        <f>K$10*$N7/$N$10</f>
        <v>0</v>
      </c>
      <c r="L23" s="225">
        <f>L$10*$N7/$N$10</f>
        <v>0</v>
      </c>
      <c r="M23" s="225">
        <f>M$10*$N7/$N$10</f>
        <v>0</v>
      </c>
      <c r="T23" s="50">
        <v>20</v>
      </c>
      <c r="U23" s="162">
        <f t="shared" si="1"/>
        <v>31.410432844230925</v>
      </c>
      <c r="V23" s="164">
        <f t="shared" si="2"/>
        <v>37.566234786625053</v>
      </c>
    </row>
    <row r="24" spans="2:22" x14ac:dyDescent="0.15">
      <c r="B24" s="3"/>
      <c r="H24" s="225">
        <f>H$10*$N8/$N$10</f>
        <v>0</v>
      </c>
      <c r="I24" s="225">
        <f>I$10*$N8/$N$10</f>
        <v>0</v>
      </c>
      <c r="J24" s="225">
        <f>J$10*$N8/$N$10</f>
        <v>0</v>
      </c>
      <c r="K24" s="225">
        <f>K$10*$N8/$N$10</f>
        <v>0</v>
      </c>
      <c r="L24" s="225">
        <f>L$10*$N8/$N$10</f>
        <v>0</v>
      </c>
      <c r="M24" s="225">
        <f>M$10*$N8/$N$10</f>
        <v>0</v>
      </c>
      <c r="T24" s="50">
        <v>21</v>
      </c>
      <c r="U24" s="162">
        <f t="shared" si="1"/>
        <v>32.670573340917308</v>
      </c>
      <c r="V24" s="164">
        <f t="shared" si="2"/>
        <v>38.932172683516065</v>
      </c>
    </row>
    <row r="25" spans="2:22" x14ac:dyDescent="0.15">
      <c r="B25" s="3"/>
      <c r="H25" s="225">
        <f>H$10*$N9/$N$10</f>
        <v>0</v>
      </c>
      <c r="I25" s="225">
        <f>I$10*$N9/$N$10</f>
        <v>0</v>
      </c>
      <c r="J25" s="225">
        <f>J$10*$N9/$N$10</f>
        <v>0</v>
      </c>
      <c r="K25" s="225">
        <f>K$10*$N9/$N$10</f>
        <v>0</v>
      </c>
      <c r="L25" s="225">
        <f>L$10*$N9/$N$10</f>
        <v>0</v>
      </c>
      <c r="M25" s="225">
        <f>M$10*$N9/$N$10</f>
        <v>0</v>
      </c>
      <c r="T25" s="50">
        <v>22</v>
      </c>
      <c r="U25" s="162">
        <f t="shared" si="1"/>
        <v>33.9244384714438</v>
      </c>
      <c r="V25" s="164">
        <f t="shared" si="2"/>
        <v>40.289360437593864</v>
      </c>
    </row>
    <row r="26" spans="2:22" x14ac:dyDescent="0.15">
      <c r="H26" s="225"/>
      <c r="I26" s="225"/>
      <c r="J26" s="225"/>
      <c r="K26" s="225"/>
      <c r="L26" s="225"/>
      <c r="M26" s="225"/>
      <c r="T26" s="50">
        <v>23</v>
      </c>
      <c r="U26" s="162">
        <f t="shared" si="1"/>
        <v>35.172461626908053</v>
      </c>
      <c r="V26" s="164">
        <f t="shared" si="2"/>
        <v>41.638398118858476</v>
      </c>
    </row>
    <row r="27" spans="2:22" x14ac:dyDescent="0.15">
      <c r="H27" s="59">
        <f>IF(H20&gt;0, ((H4-H20)^2/H20), 0)</f>
        <v>1.3919379844961237</v>
      </c>
      <c r="I27" s="59">
        <f>IF(I20&gt;0, ((I4-I20)^2/I20), 0)</f>
        <v>0.5117165005537101</v>
      </c>
      <c r="J27" s="59">
        <f>IF(J20&gt;0, ((J4-J20)^2/J20), 0)</f>
        <v>0.77519379844961256</v>
      </c>
      <c r="K27" s="59">
        <f>IF(K20&gt;0, ((K4-K20)^2/K20), 0)</f>
        <v>0</v>
      </c>
      <c r="L27" s="59">
        <f>IF(L20&gt;0, ((L4-L20)^2/L20), 0)</f>
        <v>0</v>
      </c>
      <c r="M27" s="59">
        <f>IF(M20&gt;0, ((M4-M20)^2/M20), 0)</f>
        <v>0</v>
      </c>
      <c r="T27" s="50">
        <v>24</v>
      </c>
      <c r="U27" s="162">
        <f t="shared" si="1"/>
        <v>36.415028501807313</v>
      </c>
      <c r="V27" s="164">
        <f t="shared" si="2"/>
        <v>42.979820139351638</v>
      </c>
    </row>
    <row r="28" spans="2:22" x14ac:dyDescent="0.15">
      <c r="H28" s="59">
        <f>IF(H21&gt;0, ((H5-H21)^2/H21), 0)</f>
        <v>1.8704166666666664</v>
      </c>
      <c r="I28" s="59">
        <f>IF(I21&gt;0, ((I5-I21)^2/I21), 0)</f>
        <v>0.68761904761904746</v>
      </c>
      <c r="J28" s="59">
        <f>IF(J21&gt;0, ((J5-J21)^2/J21), 0)</f>
        <v>1.041666666666667</v>
      </c>
      <c r="K28" s="59">
        <f>IF(K21&gt;0, ((K5-K21)^2/K21), 0)</f>
        <v>0</v>
      </c>
      <c r="L28" s="59">
        <f>IF(L21&gt;0, ((L5-L21)^2/L21), 0)</f>
        <v>0</v>
      </c>
      <c r="M28" s="59">
        <f>IF(M21&gt;0, ((M5-M21)^2/M21), 0)</f>
        <v>0</v>
      </c>
      <c r="T28" s="50">
        <v>25</v>
      </c>
      <c r="U28" s="162">
        <f t="shared" si="1"/>
        <v>37.65248413348278</v>
      </c>
      <c r="V28" s="164">
        <f t="shared" si="2"/>
        <v>44.314104896219156</v>
      </c>
    </row>
    <row r="29" spans="2:22" x14ac:dyDescent="0.15">
      <c r="H29" s="59">
        <f>IF(H22&gt;0, ((H6-H22)^2/H22), 0)</f>
        <v>0</v>
      </c>
      <c r="I29" s="59">
        <f>IF(I22&gt;0, ((I6-I22)^2/I22), 0)</f>
        <v>0</v>
      </c>
      <c r="J29" s="59">
        <f>IF(J22&gt;0, ((J6-J22)^2/J22), 0)</f>
        <v>0</v>
      </c>
      <c r="K29" s="59">
        <f>IF(K22&gt;0, ((K6-K22)^2/K22), 0)</f>
        <v>0</v>
      </c>
      <c r="L29" s="59">
        <f>IF(L22&gt;0, ((L6-L22)^2/L22), 0)</f>
        <v>0</v>
      </c>
      <c r="M29" s="59">
        <f>IF(M22&gt;0, ((M6-M22)^2/M22), 0)</f>
        <v>0</v>
      </c>
      <c r="T29" s="50">
        <v>26</v>
      </c>
      <c r="U29" s="162">
        <f t="shared" si="1"/>
        <v>38.885138659830041</v>
      </c>
      <c r="V29" s="164">
        <f t="shared" si="2"/>
        <v>45.641682666283153</v>
      </c>
    </row>
    <row r="30" spans="2:22" x14ac:dyDescent="0.15">
      <c r="H30" s="59">
        <f>IF(H23&gt;0, ((H7-H23)^2/H23), 0)</f>
        <v>0</v>
      </c>
      <c r="I30" s="59">
        <f>IF(I23&gt;0, ((I7-I23)^2/I23), 0)</f>
        <v>0</v>
      </c>
      <c r="J30" s="59">
        <f>IF(J23&gt;0, ((J7-J23)^2/J23), 0)</f>
        <v>0</v>
      </c>
      <c r="K30" s="59">
        <f>IF(K23&gt;0, ((K7-K23)^2/K23), 0)</f>
        <v>0</v>
      </c>
      <c r="L30" s="59">
        <f>IF(L23&gt;0, ((L7-L23)^2/L23), 0)</f>
        <v>0</v>
      </c>
      <c r="M30" s="59">
        <f>IF(M23&gt;0, ((M7-M23)^2/M23), 0)</f>
        <v>0</v>
      </c>
      <c r="T30" s="50">
        <v>27</v>
      </c>
      <c r="U30" s="162">
        <f t="shared" si="1"/>
        <v>40.113272069413625</v>
      </c>
      <c r="V30" s="164">
        <f t="shared" si="2"/>
        <v>46.962942124751443</v>
      </c>
    </row>
    <row r="31" spans="2:22" x14ac:dyDescent="0.15">
      <c r="H31" s="59">
        <f>IF(H24&gt;0, ((H8-H24)^2/H24), 0)</f>
        <v>0</v>
      </c>
      <c r="I31" s="59">
        <f>IF(I24&gt;0, ((I8-I24)^2/I24), 0)</f>
        <v>0</v>
      </c>
      <c r="J31" s="59">
        <f>IF(J24&gt;0, ((J8-J24)^2/J24), 0)</f>
        <v>0</v>
      </c>
      <c r="K31" s="59">
        <f>IF(K24&gt;0, ((K8-K24)^2/K24), 0)</f>
        <v>0</v>
      </c>
      <c r="L31" s="59">
        <f>IF(L24&gt;0, ((L8-L24)^2/L24), 0)</f>
        <v>0</v>
      </c>
      <c r="M31" s="59">
        <f>IF(M24&gt;0, ((M8-M24)^2/M24), 0)</f>
        <v>0</v>
      </c>
      <c r="T31" s="50">
        <v>28</v>
      </c>
      <c r="U31" s="162">
        <f t="shared" si="1"/>
        <v>41.337138151427396</v>
      </c>
      <c r="V31" s="164">
        <f t="shared" si="2"/>
        <v>48.27823577031549</v>
      </c>
    </row>
    <row r="32" spans="2:22" x14ac:dyDescent="0.15">
      <c r="H32" s="59">
        <f>IF(H25&gt;0, ((H9-H25)^2/H25), 0)</f>
        <v>0</v>
      </c>
      <c r="I32" s="59">
        <f>IF(I25&gt;0, ((I9-I25)^2/I25), 0)</f>
        <v>0</v>
      </c>
      <c r="J32" s="59">
        <f>IF(J25&gt;0, ((J9-J25)^2/J25), 0)</f>
        <v>0</v>
      </c>
      <c r="K32" s="59">
        <f>IF(K25&gt;0, ((K9-K25)^2/K25), 0)</f>
        <v>0</v>
      </c>
      <c r="L32" s="59">
        <f>IF(L25&gt;0, ((L9-L25)^2/L25), 0)</f>
        <v>0</v>
      </c>
      <c r="M32" s="59">
        <f>IF(M25&gt;0, ((M9-M25)^2/M25), 0)</f>
        <v>0</v>
      </c>
      <c r="T32" s="50">
        <v>29</v>
      </c>
      <c r="U32" s="162">
        <f t="shared" si="1"/>
        <v>42.556967804292682</v>
      </c>
      <c r="V32" s="164">
        <f t="shared" si="2"/>
        <v>49.587884472898835</v>
      </c>
    </row>
    <row r="33" spans="1:22" x14ac:dyDescent="0.15">
      <c r="T33" s="50">
        <v>30</v>
      </c>
      <c r="U33" s="162">
        <f t="shared" si="1"/>
        <v>43.772971825742189</v>
      </c>
      <c r="V33" s="164">
        <f t="shared" si="2"/>
        <v>50.892181311517092</v>
      </c>
    </row>
    <row r="34" spans="1:22" x14ac:dyDescent="0.15">
      <c r="T34" s="50">
        <v>40</v>
      </c>
      <c r="U34" s="162">
        <f t="shared" si="1"/>
        <v>55.75847927888703</v>
      </c>
      <c r="V34" s="164">
        <f t="shared" si="2"/>
        <v>63.690739751564458</v>
      </c>
    </row>
    <row r="35" spans="1:22" x14ac:dyDescent="0.15">
      <c r="H35" s="3"/>
      <c r="T35" s="50">
        <v>50</v>
      </c>
      <c r="U35" s="162">
        <f t="shared" si="1"/>
        <v>67.504806549541186</v>
      </c>
      <c r="V35" s="164">
        <f t="shared" si="2"/>
        <v>76.15389124901273</v>
      </c>
    </row>
    <row r="36" spans="1:22" x14ac:dyDescent="0.15">
      <c r="H36" s="3"/>
      <c r="T36" s="50">
        <v>60</v>
      </c>
      <c r="U36" s="162">
        <f t="shared" si="1"/>
        <v>79.081944487848716</v>
      </c>
      <c r="V36" s="164">
        <f t="shared" si="2"/>
        <v>88.379418901449327</v>
      </c>
    </row>
    <row r="37" spans="1:22" ht="14" thickBot="1" x14ac:dyDescent="0.2">
      <c r="H37" s="3"/>
      <c r="T37" s="50">
        <v>70</v>
      </c>
      <c r="U37" s="166">
        <f t="shared" si="1"/>
        <v>90.531225434880668</v>
      </c>
      <c r="V37" s="168">
        <f t="shared" si="2"/>
        <v>100.42518422881135</v>
      </c>
    </row>
    <row r="38" spans="1:22" x14ac:dyDescent="0.15">
      <c r="A38" s="50"/>
    </row>
    <row r="39" spans="1:22" x14ac:dyDescent="0.15">
      <c r="A39" s="50"/>
    </row>
    <row r="40" spans="1:22" x14ac:dyDescent="0.15">
      <c r="A40" s="50"/>
    </row>
    <row r="41" spans="1:22" x14ac:dyDescent="0.15">
      <c r="A41" s="50"/>
    </row>
    <row r="42" spans="1:22" x14ac:dyDescent="0.15">
      <c r="A42" s="50"/>
    </row>
    <row r="43" spans="1:22" x14ac:dyDescent="0.15">
      <c r="A43" s="50"/>
    </row>
    <row r="44" spans="1:22" x14ac:dyDescent="0.15">
      <c r="A44" s="50"/>
    </row>
    <row r="45" spans="1:22" x14ac:dyDescent="0.15">
      <c r="A45" s="50"/>
    </row>
    <row r="46" spans="1:22" x14ac:dyDescent="0.15">
      <c r="A46" s="50"/>
    </row>
    <row r="47" spans="1:22" x14ac:dyDescent="0.15">
      <c r="A47" s="50"/>
    </row>
    <row r="48" spans="1:22" x14ac:dyDescent="0.15">
      <c r="A48" s="50"/>
    </row>
    <row r="49" spans="1:1" x14ac:dyDescent="0.15">
      <c r="A49" s="50"/>
    </row>
    <row r="50" spans="1:1" x14ac:dyDescent="0.15">
      <c r="A50" s="50"/>
    </row>
    <row r="51" spans="1:1" x14ac:dyDescent="0.15">
      <c r="A51" s="50"/>
    </row>
    <row r="52" spans="1:1" x14ac:dyDescent="0.15">
      <c r="A52" s="50"/>
    </row>
    <row r="53" spans="1:1" x14ac:dyDescent="0.15">
      <c r="A53" s="50"/>
    </row>
    <row r="54" spans="1:1" x14ac:dyDescent="0.15">
      <c r="A54" s="50"/>
    </row>
  </sheetData>
  <mergeCells count="7">
    <mergeCell ref="P1:R1"/>
    <mergeCell ref="J17:M17"/>
    <mergeCell ref="T1:V1"/>
    <mergeCell ref="B16:C16"/>
    <mergeCell ref="B1:E1"/>
    <mergeCell ref="G1:N1"/>
    <mergeCell ref="H12:I12"/>
  </mergeCells>
  <phoneticPr fontId="4" type="noConversion"/>
  <pageMargins left="0.75" right="0.75" top="1" bottom="1" header="0.5" footer="0.5"/>
  <pageSetup scale="90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Desc</vt:lpstr>
      <vt:lpstr>z</vt:lpstr>
      <vt:lpstr>d</vt:lpstr>
      <vt:lpstr>Power</vt:lpstr>
      <vt:lpstr>t</vt:lpstr>
      <vt:lpstr>F</vt:lpstr>
      <vt:lpstr>HSD</vt:lpstr>
      <vt:lpstr>Corr + Reg</vt:lpstr>
      <vt:lpstr>Chi-Sq</vt:lpstr>
      <vt:lpstr>'Chi-Sq'!Print_Area</vt:lpstr>
      <vt:lpstr>'Corr + Reg'!Print_Area</vt:lpstr>
      <vt:lpstr>F!Print_Area</vt:lpstr>
      <vt:lpstr>HSD!Print_Area</vt:lpstr>
      <vt:lpstr>t!Print_Area</vt:lpstr>
      <vt:lpstr>z!Print_Area</vt:lpstr>
    </vt:vector>
  </TitlesOfParts>
  <Company>The College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Ruscio</dc:creator>
  <cp:lastModifiedBy>John Ruscio</cp:lastModifiedBy>
  <cp:lastPrinted>2006-11-29T15:30:44Z</cp:lastPrinted>
  <dcterms:created xsi:type="dcterms:W3CDTF">2006-11-28T19:47:36Z</dcterms:created>
  <dcterms:modified xsi:type="dcterms:W3CDTF">2021-01-24T17:06:29Z</dcterms:modified>
</cp:coreProperties>
</file>